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drawings/drawing20.xml" ContentType="application/vnd.openxmlformats-officedocument.drawing+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drawings/drawing2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6746546-DA2A-4887-89C3-784B8CCB9B61}" xr6:coauthVersionLast="47" xr6:coauthVersionMax="47" xr10:uidLastSave="{00000000-0000-0000-0000-000000000000}"/>
  <bookViews>
    <workbookView xWindow="4290" yWindow="4290" windowWidth="28800" windowHeight="15345" firstSheet="38" activeTab="43"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102" r:id="rId7"/>
    <sheet name="Input - Fertiliser" sheetId="84" r:id="rId8"/>
    <sheet name="Input - Fuel" sheetId="95" r:id="rId9"/>
    <sheet name="Input - Electricity" sheetId="92" r:id="rId10"/>
    <sheet name="Input - Farm Inputs" sheetId="106" r:id="rId11"/>
    <sheet name="Input - Freight" sheetId="107" r:id="rId12"/>
    <sheet name="Input - Manure sent off-site" sheetId="108" r:id="rId13"/>
    <sheet name="3.2.1.1-2 Enteric Methane" sheetId="77" r:id="rId14"/>
    <sheet name="4.2.1.1-2 Methane" sheetId="80" r:id="rId15"/>
    <sheet name="4.2.1.3-4 Soil direct N20" sheetId="81" r:id="rId16"/>
    <sheet name="4.2.1.5-6 Soil Atmos Dep" sheetId="82" r:id="rId17"/>
    <sheet name="4.2.1.7-8 Soil leach runoff" sheetId="83" r:id="rId18"/>
    <sheet name="5.1.1.1-2 Inorganic fert N2O" sheetId="85" r:id="rId19"/>
    <sheet name="5.1.1.3-4 Inorganic fert CO2" sheetId="86" r:id="rId20"/>
    <sheet name="5.2.1.1-2 Organic Fert N2O" sheetId="87" r:id="rId21"/>
    <sheet name="5.3.1.1-2 Lime CO2" sheetId="88" r:id="rId22"/>
    <sheet name="5.4.1.1-4 Atmos deposition" sheetId="89" r:id="rId23"/>
    <sheet name="5.5.1.1-2 Leaching and runoff" sheetId="90" r:id="rId24"/>
    <sheet name="6.2.1.1-2 Pasture residue N2O" sheetId="103" r:id="rId25"/>
    <sheet name="6.3.1.1-2 Leach runoff pasture" sheetId="104" r:id="rId26"/>
    <sheet name="8.1.1.1-2 Transport fuel" sheetId="96" r:id="rId27"/>
    <sheet name="8.2.1.1-2 Stationary fuel" sheetId="97" r:id="rId28"/>
    <sheet name="14.1.1-2 Purchased electricity" sheetId="93" r:id="rId29"/>
    <sheet name="15 Scope 3" sheetId="109" r:id="rId30"/>
    <sheet name="Calcs - Manure sent off-site" sheetId="110" r:id="rId31"/>
    <sheet name="Constants - Pasture Beef" sheetId="78" r:id="rId32"/>
    <sheet name="Constants - Ag Residue" sheetId="105" r:id="rId33"/>
    <sheet name="Constants - Common Livestock" sheetId="112" r:id="rId34"/>
    <sheet name="Constants - Electricity" sheetId="94" r:id="rId35"/>
    <sheet name="Constants - Fertiliser" sheetId="91" r:id="rId36"/>
    <sheet name="Constants - Fuel" sheetId="98" r:id="rId37"/>
    <sheet name="Constants - Scope 3" sheetId="111" r:id="rId38"/>
    <sheet name="Constants - Common" sheetId="74" r:id="rId39"/>
    <sheet name="Acknowledgements" sheetId="114" r:id="rId40"/>
    <sheet name="Input - Solid waste" sheetId="99" r:id="rId41"/>
    <sheet name="10.1.1-2 Solid waste treatment" sheetId="100" r:id="rId42"/>
    <sheet name="Constants - Solid Waste" sheetId="101" r:id="rId43"/>
    <sheet name="Overview" sheetId="113" r:id="rId44"/>
  </sheets>
  <definedNames>
    <definedName name="_Toc225350871" localSheetId="22">'5.4.1.1-4 Atmos deposition'!$C$1</definedName>
    <definedName name="_Toc225350871" localSheetId="2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_xlfn.LAMBDA(_xlpm.M_burnc,_xlpm.CC_c,_xlpm.EF_CH4,_xlpm.C_CH4, (_xlpm.M_burnc * _xlpm.CC_c) * _xlpm.EF_CH4 * _xlpm.C_CH4 * 10 ^ (-3))</definedName>
    <definedName name="AgResidue_Equations_FieldBurning.VEERG_6_4_1_1__1__MethaneEmissionsFromBurningOfCropResidues" localSheetId="25">_xlfn.LAMBDA(_xlpm.M_burnc,_xlpm.CC_c,_xlpm.EF_CH4,_xlpm.C_CH4, (_xlpm.M_burnc * _xlpm.CC_c) * _xlpm.EF_CH4 * _xlpm.C_CH4 * 10 ^ (-3))</definedName>
    <definedName name="AgResidue_Equations_FieldBurning.VEERG_6_4_1_1__1__MethaneEmissionsFromBurningOfCropResidues" localSheetId="32">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4">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_xlfn.LAMBDA("E_{CH4}=\sum\nolimits_c(M_{burn,c}\times CC_{c})\times EF_{CH4}\times C_{CH4}\times 10^{-3}")</definedName>
    <definedName name="AgResidue_Equations_FieldBurning.VEERG_6_4_1_1__1__MethaneEmissionsFromBurningOfCropResidues_LatexEquation" localSheetId="25">_xlfn.LAMBDA("E_{CH4}=\sum\nolimits_c(M_{burn,c}\times CC_{c})\times EF_{CH4}\times C_{CH4}\times 10^{-3}")</definedName>
    <definedName name="AgResidue_Equations_FieldBurning.VEERG_6_4_1_1__1__MethaneEmissionsFromBurningOfCropResidues_LatexEquation" localSheetId="32">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_xlfn.LAMBDA(_xlpm.M_burnc,_xlpm.NC_AGc,_xlpm.EF_N2O,_xlpm.C_N2O, (_xlpm.M_burnc * _xlpm.NC_AGc) * _xlpm.EF_N2O * _xlpm.C_N2O * 10 ^ (-3))</definedName>
    <definedName name="AgResidue_Equations_FieldBurning.VEERG_6_4_1_1__2__NitrousOxideEmissionsFromBurningOfCropResidues" localSheetId="25">_xlfn.LAMBDA(_xlpm.M_burnc,_xlpm.NC_AGc,_xlpm.EF_N2O,_xlpm.C_N2O, (_xlpm.M_burnc * _xlpm.NC_AGc) * _xlpm.EF_N2O * _xlpm.C_N2O * 10 ^ (-3))</definedName>
    <definedName name="AgResidue_Equations_FieldBurning.VEERG_6_4_1_1__2__NitrousOxideEmissionsFromBurningOfCropResidues" localSheetId="32">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4">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_xlfn.LAMBDA("E_{N2O}=\sum\nolimits_c(M_{burn,c}\times NC_{AGc})\times EF_{N2O}\times C_{N2O}\times 10^{-3}")</definedName>
    <definedName name="AgResidue_Equations_FieldBurning.VEERG_6_4_1_1__2__NitrousOxideEmissionsFromBurningOfCropResidues_LatexEquation" localSheetId="25">_xlfn.LAMBDA("E_{N2O}=\sum\nolimits_c(M_{burn,c}\times NC_{AGc})\times EF_{N2O}\times C_{N2O}\times 10^{-3}")</definedName>
    <definedName name="AgResidue_Equations_FieldBurning.VEERG_6_4_1_1__2__NitrousOxideEmissionsFromBurningOfCropResidues_LatexEquation" localSheetId="32">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_xlfn.LAMBDA(_xlpm.P_c,_xlpm.R_AGc,_xlpm.S_c,_xlpm.DM_c,_xlpm.Z_c,_xlpm.F_c, _xlpm.P_c * _xlpm.R_AGc * _xlpm.S_c * _xlpm.DM_c * _xlpm.Z_c * _xlpm.F_c)</definedName>
    <definedName name="AgResidue_Equations_FieldBurning.VEERG_6_4_1_1__3__MassOfCropResidueBurnt" localSheetId="25">_xlfn.LAMBDA(_xlpm.P_c,_xlpm.R_AGc,_xlpm.S_c,_xlpm.DM_c,_xlpm.Z_c,_xlpm.F_c, _xlpm.P_c * _xlpm.R_AGc * _xlpm.S_c * _xlpm.DM_c * _xlpm.Z_c * _xlpm.F_c)</definedName>
    <definedName name="AgResidue_Equations_FieldBurning.VEERG_6_4_1_1__3__MassOfCropResidueBurnt" localSheetId="32">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4">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_xlfn.LAMBDA("M_burnc")</definedName>
    <definedName name="AgResidue_Equations_FieldBurning.VEERG_6_4_1_1__3__MassOfCropResidueBurnt_Variable" localSheetId="25">_xlfn.LAMBDA("M_burnc")</definedName>
    <definedName name="AgResidue_Equations_FieldBurning.VEERG_6_4_1_1__3__MassOfCropResidueBurnt_Variable" localSheetId="32">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29">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9">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29">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9">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9">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29">_xlfn.LAMBDA(("Table A.2.2.6: Fraction of inorganic fertiliser f that volatilises as NH3 and NOx ((kg NH3-N + NOx-N)/kg N) (FracGASFf)"))</definedName>
    <definedName name="Fertiliser_SourceData.Fertiliser_FracGASF_Source" localSheetId="18">_xlfn.LAMBDA(("Table A.2.2.6: Fraction of inorganic fertiliser f that volatilises as NH3 and NOx ((kg NH3-N + NOx-N)/kg N) (FracGASFf)"))</definedName>
    <definedName name="Fertiliser_SourceData.Fertiliser_FracGASF_Source" localSheetId="19">_xlfn.LAMBDA(("Table A.2.2.6: Fraction of inorganic fertiliser f that volatilises as NH3 and NOx ((kg NH3-N + NOx-N)/kg N) (FracGASFf)"))</definedName>
    <definedName name="Fertiliser_SourceData.Fertiliser_FracGASF_Source" localSheetId="20">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30">_xlfn.LAMBDA(("Table A.2.2.6: Fraction of inorganic fertiliser f that volatilises as NH3 and NOx ((kg NH3-N + NOx-N)/kg N) (FracGASFf)"))</definedName>
    <definedName name="Fertiliser_SourceData.Fertiliser_FracGASF_Source" localSheetId="35">_xlfn.LAMBDA(("Table A.2.2.6: Fraction of inorganic fertiliser f that volatilises as NH3 and NOx ((kg NH3-N + NOx-N)/kg N) (FracGASFf)"))</definedName>
    <definedName name="Fertiliser_SourceData.Fertiliser_FracGASF_Source" localSheetId="37">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1">_xlfn.LAMBDA(("Table A.2.2.6: Fraction of inorganic fertiliser f that volatilises as NH3 and NOx ((kg NH3-N + NOx-N)/kg N) (FracGASFf)"))</definedName>
    <definedName name="Fertiliser_SourceData.Fertiliser_FracGASF_Source" localSheetId="12">_xlfn.LAMBDA(("Table A.2.2.6: Fraction of inorganic fertiliser f that volatilises as NH3 and NOx ((kg NH3-N + NOx-N)/kg N) (FracGASFf)"))</definedName>
    <definedName name="Fertiliser_SourceData.Fertiliser_FracGASF_Source" localSheetId="43">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8">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8">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6">_xlfn.LAMBDA(_xlpm.Cell,
    RIGHT(_xlpm.Cell,LEN(_xlpm.Cell)-FIND(", ",_xlpm.Cell))
)</definedName>
    <definedName name="Fuel_InputFunctions.Fuel_GetStationaryFuelString" localSheetId="27">_xlfn.LAMBDA(_xlpm.Cell,
    RIGHT(_xlpm.Cell,LEN(_xlpm.Cell)-FIND(", ",_xlpm.Cell))
)</definedName>
    <definedName name="Fuel_InputFunctions.Fuel_GetStationaryFuelString" localSheetId="36">_xlfn.LAMBDA(_xlpm.Cell,
    RIGHT(_xlpm.Cell,LEN(_xlpm.Cell)-FIND(", ",_xlpm.Cell))
)</definedName>
    <definedName name="Fuel_InputFunctions.Fuel_GetStationaryFuelString" localSheetId="8">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5">'4.2.1.3-4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5">'6.3.1.1-2 Leach runoff pasture'!$N$44:$O$46</definedName>
    <definedName name="M1_Table_E_N2O">'5.1.1.1-2 Inorganic fert N2O'!$D$59:$E$78</definedName>
    <definedName name="M1_Table_E_N2O_Consumer_1" localSheetId="25">'6.3.1.1-2 Leach runoff pasture'!$D$44:$E$46</definedName>
    <definedName name="M1_Table_I_j_k_l" localSheetId="13">'3.2.1.1-2 Enteric Methane'!$D$63:$N$67</definedName>
    <definedName name="M1_Table_I_j_k_l" localSheetId="14">'4.2.1.1-2 Methane'!$D$83:$N$87</definedName>
    <definedName name="M1_Table_I_j_k_l" localSheetId="15">'4.2.1.1-2 Methane'!$D$83:$N$87</definedName>
    <definedName name="M1_Table_I_j_k_l" localSheetId="16">'4.2.1.1-2 Methane'!$D$83:$N$87</definedName>
    <definedName name="M1_Table_I_j_k_l" localSheetId="17">'4.2.1.1-2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4">'4.2.1.1-2 Methane'!$D$21:$H$25</definedName>
    <definedName name="M1_Table_LC_j_k45">'3.2.1.1-2 Enteric Methane'!$D$20:$G$21</definedName>
    <definedName name="M1_Table_LC_j_k45_Consumer_1">'4.2.1.3-4 Soil direct N20'!$D$86:$G$87</definedName>
    <definedName name="M1_Table_LWG_j_k_l" localSheetId="15">'4.2.1.3-4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5">'6.3.1.1-2 Leach runoff pasture'!$D$23:$I$25</definedName>
    <definedName name="M1_Table_MA_j_k45" localSheetId="13">'3.2.1.1-2 Enteric Methane'!$D$25:$P$29</definedName>
    <definedName name="M1_Table_MA_j_k45" localSheetId="14">'4.2.1.1-2 Methane'!$D$29:$R$33</definedName>
    <definedName name="M1_Table_MA_j_k45" localSheetId="15">'4.2.1.1-2 Methane'!$D$29:$R$33</definedName>
    <definedName name="M1_Table_MA_j_k45" localSheetId="16">'4.2.1.1-2 Methane'!$D$29:$R$33</definedName>
    <definedName name="M1_Table_MA_j_k45" localSheetId="17">'4.2.1.1-2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5">'4.2.1.3-4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4">'4.2.1.1-2 Methane'!$D$130:$N$134</definedName>
    <definedName name="M1_Table_VS_j_k_l">#REF!</definedName>
    <definedName name="M1_Table_W_j_k_l" localSheetId="15">'4.2.1.3-4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5">'4.2.1.3-4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3">'3.2.1.1-2 Enteric Methane'!$U$75:$AE$87</definedName>
    <definedName name="M2_Table_I_j_k_l" localSheetId="14">'4.2.1.1-2 Methane'!$W$75:$AG$87</definedName>
    <definedName name="M2_Table_I_j_k_l" localSheetId="15">'4.2.1.1-2 Methane'!$W$75:$AG$87</definedName>
    <definedName name="M2_Table_I_j_k_l" localSheetId="16">'4.2.1.1-2 Methane'!$W$75:$AG$87</definedName>
    <definedName name="M2_Table_I_j_k_l" localSheetId="17">'4.2.1.1-2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5">'4.2.1.3-4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5">'4.2.1.3-4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5">'6.3.1.1-2 Leach runoff pasture'!$N$23:$S$23</definedName>
    <definedName name="M2_Table_MA_j_k45" localSheetId="14">'4.2.1.1-2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5">'4.2.1.3-4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4">'4.2.1.1-2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29">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29">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6">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27">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6">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8">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6">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27">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6">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8">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6">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8">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6">_xlfn.LAMBDA(_xlpm.E_N2O,_xlpm.E_ad,_xlpm.E_leach,
    _xlpm.E_N2O + _xlpm.E_ad + _xlpm.E_leach
  )</definedName>
    <definedName name="Scope3_Equations.VEERG_15_13_1_3__1_EmissionsFromSolidWasteTreatmentFacility" localSheetId="27">_xlfn.LAMBDA(_xlpm.E_N2O,_xlpm.E_ad,_xlpm.E_leach,
    _xlpm.E_N2O + _xlpm.E_ad + _xlpm.E_leach
  )</definedName>
    <definedName name="Scope3_Equations.VEERG_15_13_1_3__1_EmissionsFromSolidWasteTreatmentFacility" localSheetId="36">_xlfn.LAMBDA(_xlpm.E_N2O,_xlpm.E_ad,_xlpm.E_leach,
    _xlpm.E_N2O + _xlpm.E_ad + _xlpm.E_leach
  )</definedName>
    <definedName name="Scope3_Equations.VEERG_15_13_1_3__1_EmissionsFromSolidWasteTreatmentFacility" localSheetId="8">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29">_xlfn.LAMBDA(0.24)</definedName>
    <definedName name="SourceData_Dairy.SourceData_Dairy_FractionOfNitrogenLostThroughLeachingAndRunoff_Data" localSheetId="30">_xlfn.LAMBDA(0.24)</definedName>
    <definedName name="SourceData_Dairy.SourceData_Dairy_FractionOfNitrogenLostThroughLeachingAndRunoff_Data" localSheetId="37">_xlfn.LAMBDA(0.24)</definedName>
    <definedName name="SourceData_Dairy.SourceData_Dairy_FractionOfNitrogenLostThroughLeachingAndRunoff_Data" localSheetId="10">_xlfn.LAMBDA(0.24)</definedName>
    <definedName name="SourceData_Dairy.SourceData_Dairy_FractionOfNitrogenLostThroughLeachingAndRunoff_Data" localSheetId="11">_xlfn.LAMBDA(0.24)</definedName>
    <definedName name="SourceData_Dairy.SourceData_Dairy_FractionOfNitrogenLostThroughLeachingAndRunoff_Data" localSheetId="12">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29">_xlfn.LAMBDA("Default fraction of N that is lost through leaching and runoff when manure is excreted to pasture, range and paddock (m=14).")</definedName>
    <definedName name="SourceData_Dairy.SourceData_Dairy_FractionOfNitrogenLostThroughLeachingAndRunoff_Title" localSheetId="30">_xlfn.LAMBDA("Default fraction of N that is lost through leaching and runoff when manure is excreted to pasture, range and paddock (m=14).")</definedName>
    <definedName name="SourceData_Dairy.SourceData_Dairy_FractionOfNitrogenLostThroughLeachingAndRunoff_Title" localSheetId="37">_xlfn.LAMBDA("Default fraction of N that is lost through leaching and runoff when manure is excreted to pasture, range and paddock (m=14).")</definedName>
    <definedName name="SourceData_Dairy.SourceData_Dairy_FractionOfNitrogenLostThroughLeachingAndRunoff_Title" localSheetId="10">_xlfn.LAMBDA("Default fraction of N that is lost through leaching and runoff when manure is excreted to pasture, range and paddock (m=14).")</definedName>
    <definedName name="SourceData_Dairy.SourceData_Dairy_FractionOfNitrogenLostThroughLeachingAndRunoff_Title" localSheetId="11">_xlfn.LAMBDA("Default fraction of N that is lost through leaching and runoff when manure is excreted to pasture, range and paddock (m=14).")</definedName>
    <definedName name="SourceData_Dairy.SourceData_Dairy_FractionOfNitrogenLostThroughLeachingAndRunoff_Title" localSheetId="12">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29">_xlfn.LAMBDA("Fraction")</definedName>
    <definedName name="SourceData_Dairy.SourceData_Dairy_FractionOfNitrogenLostThroughLeachingAndRunoff_Unit" localSheetId="30">_xlfn.LAMBDA("Fraction")</definedName>
    <definedName name="SourceData_Dairy.SourceData_Dairy_FractionOfNitrogenLostThroughLeachingAndRunoff_Unit" localSheetId="37">_xlfn.LAMBDA("Fraction")</definedName>
    <definedName name="SourceData_Dairy.SourceData_Dairy_FractionOfNitrogenLostThroughLeachingAndRunoff_Unit" localSheetId="10">_xlfn.LAMBDA("Fraction")</definedName>
    <definedName name="SourceData_Dairy.SourceData_Dairy_FractionOfNitrogenLostThroughLeachingAndRunoff_Unit" localSheetId="11">_xlfn.LAMBDA("Fraction")</definedName>
    <definedName name="SourceData_Dairy.SourceData_Dairy_FractionOfNitrogenLostThroughLeachingAndRunoff_Unit" localSheetId="12">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29">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1">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29">_xlfn.LAMBDA(
    _xlfn.MAKEARRAY(3, 2,
      _xlfn.LAMBDA(_xlpm.r,_xlpm.c,
        INDEX({"Animal Class j","MRj";"Milking cows, and house cows",1.1;"All other cattle classes",1}, _xlpm.r, _xlpm.c)
      )
    )
  )</definedName>
    <definedName name="SourceData_Dairy.SourceData_Dairy_IncreasedMetabolicRateMilk_Data" localSheetId="30">_xlfn.LAMBDA(
    _xlfn.MAKEARRAY(3, 2,
      _xlfn.LAMBDA(_xlpm.r,_xlpm.c,
        INDEX({"Animal Class j","MRj";"Milking cows, and house cows",1.1;"All other cattle classes",1}, _xlpm.r, _xlpm.c)
      )
    )
  )</definedName>
    <definedName name="SourceData_Dairy.SourceData_Dairy_IncreasedMetabolicRateMilk_Data" localSheetId="37">_xlfn.LAMBDA(
    _xlfn.MAKEARRAY(3, 2,
      _xlfn.LAMBDA(_xlpm.r,_xlpm.c,
        INDEX({"Animal Class j","MRj";"Milking cows, and house cows",1.1;"All other cattle classes",1}, _xlpm.r, _xlpm.c)
      )
    )
  )</definedName>
    <definedName name="SourceData_Dairy.SourceData_Dairy_IncreasedMetabolicRateMilk_Data" localSheetId="10">_xlfn.LAMBDA(
    _xlfn.MAKEARRAY(3, 2,
      _xlfn.LAMBDA(_xlpm.r,_xlpm.c,
        INDEX({"Animal Class j","MRj";"Milking cows, and house cows",1.1;"All other cattle classes",1}, _xlpm.r, _xlpm.c)
      )
    )
  )</definedName>
    <definedName name="SourceData_Dairy.SourceData_Dairy_IncreasedMetabolicRateMilk_Data" localSheetId="11">_xlfn.LAMBDA(
    _xlfn.MAKEARRAY(3, 2,
      _xlfn.LAMBDA(_xlpm.r,_xlpm.c,
        INDEX({"Animal Class j","MRj";"Milking cows, and house cows",1.1;"All other cattle classes",1}, _xlpm.r, _xlpm.c)
      )
    )
  )</definedName>
    <definedName name="SourceData_Dairy.SourceData_Dairy_IncreasedMetabolicRateMilk_Data" localSheetId="12">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29">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1">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29">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29">_xlfn.LAMBDA(
    _xlfn.MAKEARRAY(5, 2,
      _xlfn.LAMBDA(_xlpm.r,_xlpm.c,
        INDEX({"Class","Ij";"Boars",2.62;"Sows",2.3;"Gilts",2.5;"Others",1.71}, _xlpm.r, _xlpm.c)
      )
    )
  )</definedName>
    <definedName name="SourceData_Swine.SourceData_Swine_FeedIntake_Data" localSheetId="30">_xlfn.LAMBDA(
    _xlfn.MAKEARRAY(5, 2,
      _xlfn.LAMBDA(_xlpm.r,_xlpm.c,
        INDEX({"Class","Ij";"Boars",2.62;"Sows",2.3;"Gilts",2.5;"Others",1.71}, _xlpm.r, _xlpm.c)
      )
    )
  )</definedName>
    <definedName name="SourceData_Swine.SourceData_Swine_FeedIntake_Data" localSheetId="37">_xlfn.LAMBDA(
    _xlfn.MAKEARRAY(5, 2,
      _xlfn.LAMBDA(_xlpm.r,_xlpm.c,
        INDEX({"Class","Ij";"Boars",2.62;"Sows",2.3;"Gilts",2.5;"Others",1.71}, _xlpm.r, _xlpm.c)
      )
    )
  )</definedName>
    <definedName name="SourceData_Swine.SourceData_Swine_FeedIntake_Data" localSheetId="10">_xlfn.LAMBDA(
    _xlfn.MAKEARRAY(5, 2,
      _xlfn.LAMBDA(_xlpm.r,_xlpm.c,
        INDEX({"Class","Ij";"Boars",2.62;"Sows",2.3;"Gilts",2.5;"Others",1.71}, _xlpm.r, _xlpm.c)
      )
    )
  )</definedName>
    <definedName name="SourceData_Swine.SourceData_Swine_FeedIntake_Data" localSheetId="11">_xlfn.LAMBDA(
    _xlfn.MAKEARRAY(5, 2,
      _xlfn.LAMBDA(_xlpm.r,_xlpm.c,
        INDEX({"Class","Ij";"Boars",2.62;"Sows",2.3;"Gilts",2.5;"Others",1.71}, _xlpm.r, _xlpm.c)
      )
    )
  )</definedName>
    <definedName name="SourceData_Swine.SourceData_Swine_FeedIntake_Data" localSheetId="12">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29">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1">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2">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29">_xlfn.LAMBDA(
    _xlfn.MAKEARRAY(5, 2,
      _xlfn.LAMBDA(_xlpm.r,_xlpm.c,
        INDEX({"Class","VSj";"Boars",0.4;"Sows",0.46;"Gilts",0.55;"Others",0.39}, _xlpm.r, _xlpm.c)
      )
    )
  )</definedName>
    <definedName name="SourceData_Swine.SourceData_Swine_VolatileSolids_Data" localSheetId="30">_xlfn.LAMBDA(
    _xlfn.MAKEARRAY(5, 2,
      _xlfn.LAMBDA(_xlpm.r,_xlpm.c,
        INDEX({"Class","VSj";"Boars",0.4;"Sows",0.46;"Gilts",0.55;"Others",0.39}, _xlpm.r, _xlpm.c)
      )
    )
  )</definedName>
    <definedName name="SourceData_Swine.SourceData_Swine_VolatileSolids_Data" localSheetId="37">_xlfn.LAMBDA(
    _xlfn.MAKEARRAY(5, 2,
      _xlfn.LAMBDA(_xlpm.r,_xlpm.c,
        INDEX({"Class","VSj";"Boars",0.4;"Sows",0.46;"Gilts",0.55;"Others",0.39}, _xlpm.r, _xlpm.c)
      )
    )
  )</definedName>
    <definedName name="SourceData_Swine.SourceData_Swine_VolatileSolids_Data" localSheetId="10">_xlfn.LAMBDA(
    _xlfn.MAKEARRAY(5, 2,
      _xlfn.LAMBDA(_xlpm.r,_xlpm.c,
        INDEX({"Class","VSj";"Boars",0.4;"Sows",0.46;"Gilts",0.55;"Others",0.39}, _xlpm.r, _xlpm.c)
      )
    )
  )</definedName>
    <definedName name="SourceData_Swine.SourceData_Swine_VolatileSolids_Data" localSheetId="11">_xlfn.LAMBDA(
    _xlfn.MAKEARRAY(5, 2,
      _xlfn.LAMBDA(_xlpm.r,_xlpm.c,
        INDEX({"Class","VSj";"Boars",0.4;"Sows",0.46;"Gilts",0.55;"Others",0.39}, _xlpm.r, _xlpm.c)
      )
    )
  )</definedName>
    <definedName name="SourceData_Swine.SourceData_Swine_VolatileSolids_Data" localSheetId="12">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9">'Calcs - Manure sent off-site'!$E$55</definedName>
    <definedName name="VEERG_5_4_1_3__1_OrganicFertiliserAtmosphericDepositionN2OEmissions_Result_Method1" localSheetId="30">'Calcs - Manure sent off-site'!$E$55</definedName>
    <definedName name="VEERG_5_4_1_3__1_OrganicFertiliserAtmosphericDepositionN2OEmissions_Result_Method1" localSheetId="37">'Calcs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9">'Calcs - Manure sent off-site'!$E$90</definedName>
    <definedName name="VEERG_5_5_1_1__1_FertiliserLeachingAndRunoffN2OEmissions_Result_Method1" localSheetId="30">'Calcs - Manure sent off-site'!$E$90</definedName>
    <definedName name="VEERG_5_5_1_1__1_FertiliserLeachingAndRunoffN2OEmissions_Result_Method1" localSheetId="37">'Calcs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2">'Calcs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5">'6.3.1.1-2 Leach runoff pasture'!$E$48</definedName>
    <definedName name="VEERG_6_3_1_1__1__LeachingAndRunoffEmissionsCropAndPastureResidue_Result_Method2" localSheetId="25">'6.3.1.1-2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29">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29">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3">'Input - Pasture Beef'!$E$9</definedName>
    <definedName name="X_Cell_PastureBeef_Breed" localSheetId="14">'Input - Pasture Beef'!$E$9</definedName>
    <definedName name="X_Cell_PastureBeef_Breed" localSheetId="15">'Input - Pasture Beef'!$E$9</definedName>
    <definedName name="X_Cell_PastureBeef_Breed" localSheetId="16">'Input - Pasture Beef'!$E$9</definedName>
    <definedName name="X_Cell_PastureBeef_Breed" localSheetId="17">'Input - Pasture Beef'!$E$9</definedName>
    <definedName name="X_Cell_PastureBeef_Breed" localSheetId="39">'Input - Pasture Beef'!$E$9</definedName>
    <definedName name="X_Cell_PastureBeef_Breed" localSheetId="33">'Input - Pasture Beef'!$E$9</definedName>
    <definedName name="X_Cell_PastureBeef_Breed" localSheetId="31">'Input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4">'Input - Pasture Beef'!$E$185</definedName>
    <definedName name="X_Cell_PastureBeef_GrazingIrrigationMethod" localSheetId="15">'Input - Pasture Beef'!$E$185</definedName>
    <definedName name="X_Cell_PastureBeef_GrazingIrrigationMethod" localSheetId="16">'Input - Pasture Beef'!$E$185</definedName>
    <definedName name="X_Cell_PastureBeef_GrazingIrrigationMethod" localSheetId="17">'Input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4">'Input - Pasture Beef'!$E$184</definedName>
    <definedName name="X_Cell_PastureBeef_GrazingProductionSystem" localSheetId="15">'Input - Pasture Beef'!$E$184</definedName>
    <definedName name="X_Cell_PastureBeef_GrazingProductionSystem" localSheetId="16">'Input - Pasture Beef'!$E$184</definedName>
    <definedName name="X_Cell_PastureBeef_GrazingProductionSystem" localSheetId="17">'Input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4">'Input - Pasture Beef'!$E$8</definedName>
    <definedName name="X_Cell_PastureBeef_ProductionRegion" localSheetId="15">'Input - Pasture Beef'!$E$8</definedName>
    <definedName name="X_Cell_PastureBeef_ProductionRegion" localSheetId="16">'Input - Pasture Beef'!$E$8</definedName>
    <definedName name="X_Cell_PastureBeef_ProductionRegion" localSheetId="17">'Input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4">'Input - Pasture Beef'!$D$154:$N$158</definedName>
    <definedName name="X_Table_PastureBeef_CrudeProtein_Method1" localSheetId="15">'Input - Pasture Beef'!$D$154:$N$158</definedName>
    <definedName name="X_Table_PastureBeef_CrudeProtein_Method1" localSheetId="16">'Input - Pasture Beef'!$D$154:$N$158</definedName>
    <definedName name="X_Table_PastureBeef_CrudeProtein_Method1" localSheetId="17">'Input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4">'Input - Pasture Beef'!$D$160:$N$172</definedName>
    <definedName name="X_Table_PastureBeef_CrudeProtein_Method2" localSheetId="15">'Input - Pasture Beef'!$D$160:$N$172</definedName>
    <definedName name="X_Table_PastureBeef_CrudeProtein_Method2" localSheetId="16">'Input - Pasture Beef'!$D$160:$N$172</definedName>
    <definedName name="X_Table_PastureBeef_CrudeProtein_Method2" localSheetId="17">'Input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4">'Input - Pasture Beef'!$D$132:$N$136</definedName>
    <definedName name="X_Table_PastureBeef_DryMatterDigestibility_Method1" localSheetId="15">'Input - Pasture Beef'!$D$132:$N$136</definedName>
    <definedName name="X_Table_PastureBeef_DryMatterDigestibility_Method1" localSheetId="16">'Input - Pasture Beef'!$D$132:$N$136</definedName>
    <definedName name="X_Table_PastureBeef_DryMatterDigestibility_Method1" localSheetId="17">'Input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4">'Input - Pasture Beef'!$D$138:$N$150</definedName>
    <definedName name="X_Table_PastureBeef_DryMatterDigestibility_Method2" localSheetId="15">'Input - Pasture Beef'!$D$138:$N$150</definedName>
    <definedName name="X_Table_PastureBeef_DryMatterDigestibility_Method2" localSheetId="16">'Input - Pasture Beef'!$D$138:$N$150</definedName>
    <definedName name="X_Table_PastureBeef_DryMatterDigestibility_Method2" localSheetId="17">'Input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15">'Input - Pasture Beef'!$D$16:$N$20</definedName>
    <definedName name="X_Table_PastureBeef_Duration_Method1" localSheetId="16">'Input - Pasture Beef'!$D$16:$N$20</definedName>
    <definedName name="X_Table_PastureBeef_Duration_Method1" localSheetId="17">'Input - Pasture Beef'!$D$16:$N$20</definedName>
    <definedName name="X_Table_PastureBeef_Duration_Method1" localSheetId="39">'Input - Pasture Beef'!$D$16:$N$20</definedName>
    <definedName name="X_Table_PastureBeef_Duration_Method1" localSheetId="33">'Input - Pasture Beef'!$D$16:$N$20</definedName>
    <definedName name="X_Table_PastureBeef_Duration_Method1" localSheetId="31">'Input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15">'Input - Pasture Beef'!$D$22:$N$34</definedName>
    <definedName name="X_Table_PastureBeef_Duration_Method2" localSheetId="16">'Input - Pasture Beef'!$D$22:$N$34</definedName>
    <definedName name="X_Table_PastureBeef_Duration_Method2" localSheetId="17">'Input - Pasture Beef'!$D$22:$N$34</definedName>
    <definedName name="X_Table_PastureBeef_Duration_Method2" localSheetId="39">'Input - Pasture Beef'!$D$22:$N$34</definedName>
    <definedName name="X_Table_PastureBeef_Duration_Method2" localSheetId="33">'Input - Pasture Beef'!$D$22:$N$34</definedName>
    <definedName name="X_Table_PastureBeef_Duration_Method2" localSheetId="31">'Input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3">'Input - Pasture Beef'!$D$38:$N$42</definedName>
    <definedName name="X_Table_PastureBeef_Head_Method1" localSheetId="14">'Input - Pasture Beef'!$D$38:$N$42</definedName>
    <definedName name="X_Table_PastureBeef_Head_Method1" localSheetId="15">'Input - Pasture Beef'!$D$38:$N$42</definedName>
    <definedName name="X_Table_PastureBeef_Head_Method1" localSheetId="16">'Input - Pasture Beef'!$D$38:$N$42</definedName>
    <definedName name="X_Table_PastureBeef_Head_Method1" localSheetId="17">'Input - Pasture Beef'!$D$38:$N$42</definedName>
    <definedName name="X_Table_PastureBeef_Head_Method1" localSheetId="39">'Input - Pasture Beef'!$D$38:$N$42</definedName>
    <definedName name="X_Table_PastureBeef_Head_Method1" localSheetId="33">'Input - Pasture Beef'!$D$38:$N$42</definedName>
    <definedName name="X_Table_PastureBeef_Head_Method1" localSheetId="31">'Input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3">'Input - Pasture Beef'!$D$44:$N$56</definedName>
    <definedName name="X_Table_PastureBeef_Head_Method2" localSheetId="14">'Input - Pasture Beef'!$D$44:$N$56</definedName>
    <definedName name="X_Table_PastureBeef_Head_Method2" localSheetId="15">'Input - Pasture Beef'!$D$44:$N$56</definedName>
    <definedName name="X_Table_PastureBeef_Head_Method2" localSheetId="16">'Input - Pasture Beef'!$D$44:$N$56</definedName>
    <definedName name="X_Table_PastureBeef_Head_Method2" localSheetId="17">'Input - Pasture Beef'!$D$44:$N$56</definedName>
    <definedName name="X_Table_PastureBeef_Head_Method2" localSheetId="39">'Input - Pasture Beef'!$D$44:$N$56</definedName>
    <definedName name="X_Table_PastureBeef_Head_Method2" localSheetId="33">'Input - Pasture Beef'!$D$44:$N$56</definedName>
    <definedName name="X_Table_PastureBeef_Head_Method2" localSheetId="31">'Input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15">'Input - Pasture Beef'!$D$60:$N$64</definedName>
    <definedName name="X_Table_PastureBeef_Liveweight_Method1" localSheetId="16">'Input - Pasture Beef'!$D$60:$N$64</definedName>
    <definedName name="X_Table_PastureBeef_Liveweight_Method1" localSheetId="17">'Input - Pasture Beef'!$D$60:$N$64</definedName>
    <definedName name="X_Table_PastureBeef_Liveweight_Method1" localSheetId="39">'Input - Pasture Beef'!$D$60:$N$64</definedName>
    <definedName name="X_Table_PastureBeef_Liveweight_Method1" localSheetId="33">'Input - Pasture Beef'!$D$60:$N$64</definedName>
    <definedName name="X_Table_PastureBeef_Liveweight_Method1" localSheetId="31">'Input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15">'Input - Pasture Beef'!$D$66:$N$78</definedName>
    <definedName name="X_Table_PastureBeef_Liveweight_Method2" localSheetId="16">'Input - Pasture Beef'!$D$66:$N$78</definedName>
    <definedName name="X_Table_PastureBeef_Liveweight_Method2" localSheetId="17">'Input - Pasture Beef'!$D$66:$N$78</definedName>
    <definedName name="X_Table_PastureBeef_Liveweight_Method2" localSheetId="39">'Input - Pasture Beef'!$D$66:$N$78</definedName>
    <definedName name="X_Table_PastureBeef_Liveweight_Method2" localSheetId="33">'Input - Pasture Beef'!$D$66:$N$78</definedName>
    <definedName name="X_Table_PastureBeef_Liveweight_Method2" localSheetId="31">'Input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15">'Input - Pasture Beef'!$D$82:$N$86</definedName>
    <definedName name="X_Table_PastureBeef_LiveweightGain_Method1" localSheetId="16">'Input - Pasture Beef'!$D$82:$N$86</definedName>
    <definedName name="X_Table_PastureBeef_LiveweightGain_Method1" localSheetId="17">'Input - Pasture Beef'!$D$82:$N$86</definedName>
    <definedName name="X_Table_PastureBeef_LiveweightGain_Method1" localSheetId="39">'Input - Pasture Beef'!$D$82:$N$86</definedName>
    <definedName name="X_Table_PastureBeef_LiveweightGain_Method1" localSheetId="33">'Input - Pasture Beef'!$D$82:$N$86</definedName>
    <definedName name="X_Table_PastureBeef_LiveweightGain_Method1" localSheetId="31">'Input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15">'Input - Pasture Beef'!$D$88:$N$100</definedName>
    <definedName name="X_Table_PastureBeef_LiveweightGain_Method2" localSheetId="16">'Input - Pasture Beef'!$D$88:$N$100</definedName>
    <definedName name="X_Table_PastureBeef_LiveweightGain_Method2" localSheetId="17">'Input - Pasture Beef'!$D$88:$N$100</definedName>
    <definedName name="X_Table_PastureBeef_LiveweightGain_Method2" localSheetId="39">'Input - Pasture Beef'!$D$88:$N$100</definedName>
    <definedName name="X_Table_PastureBeef_LiveweightGain_Method2" localSheetId="33">'Input - Pasture Beef'!$D$88:$N$100</definedName>
    <definedName name="X_Table_PastureBeef_LiveweightGain_Method2" localSheetId="31">'Input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5" i="113" l="1"/>
  <c r="A54" i="113"/>
  <c r="A53" i="113"/>
  <c r="A52" i="113"/>
  <c r="A51" i="113"/>
  <c r="A50" i="113"/>
  <c r="A49" i="113"/>
  <c r="A48" i="113"/>
  <c r="A47" i="113"/>
  <c r="A46" i="113"/>
  <c r="A42" i="113"/>
  <c r="A41" i="113"/>
  <c r="A40" i="113"/>
  <c r="A39" i="113"/>
  <c r="A38" i="113"/>
  <c r="A37" i="113"/>
  <c r="A36" i="113"/>
  <c r="A35" i="113"/>
  <c r="A34" i="113"/>
  <c r="A33" i="113"/>
  <c r="A32" i="113"/>
  <c r="A31" i="113"/>
  <c r="A30" i="113"/>
  <c r="A29" i="113"/>
  <c r="A28" i="113"/>
  <c r="A27" i="113"/>
  <c r="A26" i="113"/>
  <c r="A25" i="113"/>
  <c r="A24" i="113"/>
  <c r="A20" i="113"/>
  <c r="A19" i="113"/>
  <c r="A18" i="113"/>
  <c r="A17" i="113"/>
  <c r="A16" i="113"/>
  <c r="A15" i="113"/>
  <c r="A14" i="113"/>
  <c r="A13" i="113"/>
  <c r="A12" i="113"/>
  <c r="A11" i="113"/>
  <c r="A10" i="113"/>
  <c r="A9" i="113"/>
  <c r="A5" i="113"/>
  <c r="A4" i="113"/>
  <c r="A3" i="113"/>
  <c r="A55" i="101"/>
  <c r="A54" i="101"/>
  <c r="A53" i="101"/>
  <c r="A52" i="101"/>
  <c r="A51" i="101"/>
  <c r="A50" i="101"/>
  <c r="A49" i="101"/>
  <c r="A48" i="101"/>
  <c r="A47" i="101"/>
  <c r="A46" i="101"/>
  <c r="A42" i="101"/>
  <c r="A41" i="101"/>
  <c r="A40" i="101"/>
  <c r="A39" i="101"/>
  <c r="A38"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55" i="100"/>
  <c r="A54" i="100"/>
  <c r="A53" i="100"/>
  <c r="A52" i="100"/>
  <c r="A51" i="100"/>
  <c r="A50" i="100"/>
  <c r="A49" i="100"/>
  <c r="A48" i="100"/>
  <c r="A47" i="100"/>
  <c r="A46" i="100"/>
  <c r="A42" i="100"/>
  <c r="A41" i="100"/>
  <c r="A40" i="100"/>
  <c r="A39" i="100"/>
  <c r="A38"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55" i="99"/>
  <c r="A54" i="99"/>
  <c r="A53" i="99"/>
  <c r="A52" i="99"/>
  <c r="A51" i="99"/>
  <c r="A50" i="99"/>
  <c r="A49" i="99"/>
  <c r="A48" i="99"/>
  <c r="A47" i="99"/>
  <c r="A46" i="99"/>
  <c r="A42" i="99"/>
  <c r="A41" i="99"/>
  <c r="A40" i="99"/>
  <c r="A39" i="99"/>
  <c r="A38"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55" i="114"/>
  <c r="A54" i="114"/>
  <c r="A53" i="114"/>
  <c r="A52" i="114"/>
  <c r="A51" i="114"/>
  <c r="A50" i="114"/>
  <c r="A49" i="114"/>
  <c r="A48" i="114"/>
  <c r="A47" i="114"/>
  <c r="A46" i="114"/>
  <c r="A42" i="114"/>
  <c r="A41" i="114"/>
  <c r="A40" i="114"/>
  <c r="A39" i="114"/>
  <c r="A38" i="114"/>
  <c r="A37" i="114"/>
  <c r="A36" i="114"/>
  <c r="A35" i="114"/>
  <c r="A34" i="114"/>
  <c r="A33" i="114"/>
  <c r="A32" i="114"/>
  <c r="A31" i="114"/>
  <c r="A30" i="114"/>
  <c r="A29" i="114"/>
  <c r="A28" i="114"/>
  <c r="A27" i="114"/>
  <c r="A26" i="114"/>
  <c r="A25" i="114"/>
  <c r="A24" i="114"/>
  <c r="A20" i="114"/>
  <c r="A19" i="114"/>
  <c r="A18" i="114"/>
  <c r="A17" i="114"/>
  <c r="A16" i="114"/>
  <c r="A15" i="114"/>
  <c r="A14" i="114"/>
  <c r="A13" i="114"/>
  <c r="A12" i="114"/>
  <c r="A11" i="114"/>
  <c r="A10" i="114"/>
  <c r="A9" i="114"/>
  <c r="A5" i="114"/>
  <c r="A4" i="114"/>
  <c r="A3" i="114"/>
  <c r="A55" i="74"/>
  <c r="A54" i="74"/>
  <c r="A53" i="74"/>
  <c r="A52" i="74"/>
  <c r="A51" i="74"/>
  <c r="A50" i="74"/>
  <c r="A49" i="74"/>
  <c r="A48" i="74"/>
  <c r="A47" i="74"/>
  <c r="A46" i="74"/>
  <c r="A42" i="74"/>
  <c r="A41" i="74"/>
  <c r="A40" i="74"/>
  <c r="A39" i="74"/>
  <c r="A38" i="74"/>
  <c r="A37" i="74"/>
  <c r="A36" i="74"/>
  <c r="A35" i="74"/>
  <c r="A34" i="74"/>
  <c r="A33" i="74"/>
  <c r="A32" i="74"/>
  <c r="A31" i="74"/>
  <c r="A30" i="74"/>
  <c r="A29" i="74"/>
  <c r="A28" i="74"/>
  <c r="A27" i="74"/>
  <c r="A26" i="74"/>
  <c r="A25" i="74"/>
  <c r="A24" i="74"/>
  <c r="A20" i="74"/>
  <c r="A19" i="74"/>
  <c r="A18" i="74"/>
  <c r="A17" i="74"/>
  <c r="A16" i="74"/>
  <c r="A15" i="74"/>
  <c r="A14" i="74"/>
  <c r="A13" i="74"/>
  <c r="A12" i="74"/>
  <c r="A11" i="74"/>
  <c r="A10" i="74"/>
  <c r="A9" i="74"/>
  <c r="A5" i="74"/>
  <c r="A4" i="74"/>
  <c r="A3" i="74"/>
  <c r="A55" i="111"/>
  <c r="A54" i="111"/>
  <c r="A53" i="111"/>
  <c r="A52" i="111"/>
  <c r="A51" i="111"/>
  <c r="A50" i="111"/>
  <c r="A49" i="111"/>
  <c r="A48" i="111"/>
  <c r="A47" i="111"/>
  <c r="A46" i="111"/>
  <c r="A42" i="111"/>
  <c r="A41" i="111"/>
  <c r="A40" i="111"/>
  <c r="A39" i="111"/>
  <c r="A38" i="111"/>
  <c r="A37" i="111"/>
  <c r="A36" i="111"/>
  <c r="A35" i="111"/>
  <c r="A34" i="111"/>
  <c r="A33" i="111"/>
  <c r="A32" i="111"/>
  <c r="A31" i="111"/>
  <c r="A30" i="111"/>
  <c r="A29" i="111"/>
  <c r="A28" i="111"/>
  <c r="A27" i="111"/>
  <c r="A26" i="111"/>
  <c r="A25" i="111"/>
  <c r="A24" i="111"/>
  <c r="A20" i="111"/>
  <c r="A19" i="111"/>
  <c r="A18" i="111"/>
  <c r="A17" i="111"/>
  <c r="A16" i="111"/>
  <c r="A15" i="111"/>
  <c r="A14" i="111"/>
  <c r="A13" i="111"/>
  <c r="A12" i="111"/>
  <c r="A11" i="111"/>
  <c r="A10" i="111"/>
  <c r="A9" i="111"/>
  <c r="A5" i="111"/>
  <c r="A4" i="111"/>
  <c r="A3" i="111"/>
  <c r="A55" i="98"/>
  <c r="A54" i="98"/>
  <c r="A53" i="98"/>
  <c r="A52" i="98"/>
  <c r="A51" i="98"/>
  <c r="A50" i="98"/>
  <c r="A49" i="98"/>
  <c r="A48" i="98"/>
  <c r="A47" i="98"/>
  <c r="A46" i="98"/>
  <c r="A42" i="98"/>
  <c r="A41" i="98"/>
  <c r="A40" i="98"/>
  <c r="A39" i="98"/>
  <c r="A38"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55" i="91"/>
  <c r="A54" i="91"/>
  <c r="A53" i="91"/>
  <c r="A52" i="91"/>
  <c r="A51" i="91"/>
  <c r="A50" i="91"/>
  <c r="A49" i="91"/>
  <c r="A48" i="91"/>
  <c r="A47" i="91"/>
  <c r="A46" i="91"/>
  <c r="A42" i="91"/>
  <c r="A41" i="91"/>
  <c r="A40" i="91"/>
  <c r="A39" i="91"/>
  <c r="A38"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55" i="94"/>
  <c r="A54" i="94"/>
  <c r="A53" i="94"/>
  <c r="A52" i="94"/>
  <c r="A51" i="94"/>
  <c r="A50" i="94"/>
  <c r="A49" i="94"/>
  <c r="A48" i="94"/>
  <c r="A47" i="94"/>
  <c r="A46" i="94"/>
  <c r="A42" i="94"/>
  <c r="A41" i="94"/>
  <c r="A40" i="94"/>
  <c r="A39" i="94"/>
  <c r="A38"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55" i="112"/>
  <c r="A54" i="112"/>
  <c r="A53" i="112"/>
  <c r="A52" i="112"/>
  <c r="A51" i="112"/>
  <c r="A50" i="112"/>
  <c r="A49" i="112"/>
  <c r="A48" i="112"/>
  <c r="A47" i="112"/>
  <c r="A46" i="112"/>
  <c r="A42" i="112"/>
  <c r="A41" i="112"/>
  <c r="A40" i="112"/>
  <c r="A39" i="112"/>
  <c r="A38" i="112"/>
  <c r="A37" i="112"/>
  <c r="A36" i="112"/>
  <c r="A35" i="112"/>
  <c r="A34" i="112"/>
  <c r="A33" i="112"/>
  <c r="A32" i="112"/>
  <c r="A31" i="112"/>
  <c r="A30" i="112"/>
  <c r="A29" i="112"/>
  <c r="A28" i="112"/>
  <c r="A27" i="112"/>
  <c r="A26" i="112"/>
  <c r="A25" i="112"/>
  <c r="A24" i="112"/>
  <c r="A20" i="112"/>
  <c r="A19" i="112"/>
  <c r="A18" i="112"/>
  <c r="A17" i="112"/>
  <c r="A16" i="112"/>
  <c r="A15" i="112"/>
  <c r="A14" i="112"/>
  <c r="A13" i="112"/>
  <c r="A12" i="112"/>
  <c r="A11" i="112"/>
  <c r="A10" i="112"/>
  <c r="A9" i="112"/>
  <c r="A5" i="112"/>
  <c r="A4" i="112"/>
  <c r="A3" i="112"/>
  <c r="A55" i="105"/>
  <c r="A54" i="105"/>
  <c r="A53" i="105"/>
  <c r="A52" i="105"/>
  <c r="A51" i="105"/>
  <c r="A50" i="105"/>
  <c r="A49" i="105"/>
  <c r="A48" i="105"/>
  <c r="A47" i="105"/>
  <c r="A46" i="105"/>
  <c r="A42" i="105"/>
  <c r="A41" i="105"/>
  <c r="A40" i="105"/>
  <c r="A39" i="105"/>
  <c r="A38"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55" i="78"/>
  <c r="A54" i="78"/>
  <c r="A53" i="78"/>
  <c r="A52" i="78"/>
  <c r="A51" i="78"/>
  <c r="A50" i="78"/>
  <c r="A49" i="78"/>
  <c r="A48" i="78"/>
  <c r="A47" i="78"/>
  <c r="A46" i="78"/>
  <c r="A42" i="78"/>
  <c r="A41" i="78"/>
  <c r="A40" i="78"/>
  <c r="A39" i="78"/>
  <c r="A38"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55" i="110"/>
  <c r="A54" i="110"/>
  <c r="A53" i="110"/>
  <c r="A52" i="110"/>
  <c r="A51" i="110"/>
  <c r="A50" i="110"/>
  <c r="A49" i="110"/>
  <c r="A48" i="110"/>
  <c r="A47" i="110"/>
  <c r="A46" i="110"/>
  <c r="A42" i="110"/>
  <c r="A41" i="110"/>
  <c r="A40" i="110"/>
  <c r="A39" i="110"/>
  <c r="A38" i="110"/>
  <c r="A37" i="110"/>
  <c r="A36" i="110"/>
  <c r="A35" i="110"/>
  <c r="A34" i="110"/>
  <c r="A33" i="110"/>
  <c r="A32" i="110"/>
  <c r="A31" i="110"/>
  <c r="A30" i="110"/>
  <c r="A29" i="110"/>
  <c r="A28" i="110"/>
  <c r="A27" i="110"/>
  <c r="A26" i="110"/>
  <c r="A25" i="110"/>
  <c r="A24" i="110"/>
  <c r="A20" i="110"/>
  <c r="A19" i="110"/>
  <c r="A18" i="110"/>
  <c r="A17" i="110"/>
  <c r="A16" i="110"/>
  <c r="A15" i="110"/>
  <c r="A14" i="110"/>
  <c r="A13" i="110"/>
  <c r="A12" i="110"/>
  <c r="A11" i="110"/>
  <c r="A10" i="110"/>
  <c r="A9" i="110"/>
  <c r="A5" i="110"/>
  <c r="A4" i="110"/>
  <c r="A3" i="110"/>
  <c r="A55" i="109"/>
  <c r="A54" i="109"/>
  <c r="A53" i="109"/>
  <c r="A52" i="109"/>
  <c r="A51" i="109"/>
  <c r="A50" i="109"/>
  <c r="A49" i="109"/>
  <c r="A48" i="109"/>
  <c r="A47" i="109"/>
  <c r="A46" i="109"/>
  <c r="A42" i="109"/>
  <c r="A41" i="109"/>
  <c r="A40" i="109"/>
  <c r="A39" i="109"/>
  <c r="A38"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55" i="93"/>
  <c r="A54" i="93"/>
  <c r="A53" i="93"/>
  <c r="A52" i="93"/>
  <c r="A51" i="93"/>
  <c r="A50" i="93"/>
  <c r="A49" i="93"/>
  <c r="A48" i="93"/>
  <c r="A47" i="93"/>
  <c r="A46" i="93"/>
  <c r="A42" i="93"/>
  <c r="A41" i="93"/>
  <c r="A40" i="93"/>
  <c r="A39" i="93"/>
  <c r="A38"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55" i="97"/>
  <c r="A54" i="97"/>
  <c r="A53" i="97"/>
  <c r="A52" i="97"/>
  <c r="A51" i="97"/>
  <c r="A50" i="97"/>
  <c r="A49" i="97"/>
  <c r="A48" i="97"/>
  <c r="A47" i="97"/>
  <c r="A46" i="97"/>
  <c r="A42" i="97"/>
  <c r="A41" i="97"/>
  <c r="A40" i="97"/>
  <c r="A39" i="97"/>
  <c r="A38"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55" i="96"/>
  <c r="A54" i="96"/>
  <c r="A53" i="96"/>
  <c r="A52" i="96"/>
  <c r="A51" i="96"/>
  <c r="A50" i="96"/>
  <c r="A49" i="96"/>
  <c r="A48" i="96"/>
  <c r="A47" i="96"/>
  <c r="A46" i="96"/>
  <c r="A42" i="96"/>
  <c r="A41" i="96"/>
  <c r="A40" i="96"/>
  <c r="A39" i="96"/>
  <c r="A38"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55" i="104"/>
  <c r="A54" i="104"/>
  <c r="A53" i="104"/>
  <c r="A52" i="104"/>
  <c r="A51" i="104"/>
  <c r="A50" i="104"/>
  <c r="A49" i="104"/>
  <c r="A48" i="104"/>
  <c r="A47" i="104"/>
  <c r="A46" i="104"/>
  <c r="A42" i="104"/>
  <c r="A41" i="104"/>
  <c r="A40" i="104"/>
  <c r="A39" i="104"/>
  <c r="A38"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55" i="103"/>
  <c r="A54" i="103"/>
  <c r="A53" i="103"/>
  <c r="A52" i="103"/>
  <c r="A51" i="103"/>
  <c r="A50" i="103"/>
  <c r="A49" i="103"/>
  <c r="A48" i="103"/>
  <c r="A47" i="103"/>
  <c r="A46" i="103"/>
  <c r="A42" i="103"/>
  <c r="A41" i="103"/>
  <c r="A40" i="103"/>
  <c r="A39" i="103"/>
  <c r="A38"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55" i="90"/>
  <c r="A54" i="90"/>
  <c r="A53" i="90"/>
  <c r="A52" i="90"/>
  <c r="A51" i="90"/>
  <c r="A50" i="90"/>
  <c r="A49" i="90"/>
  <c r="A48" i="90"/>
  <c r="A47" i="90"/>
  <c r="A46" i="90"/>
  <c r="A42" i="90"/>
  <c r="A41" i="90"/>
  <c r="A40" i="90"/>
  <c r="A39" i="90"/>
  <c r="A38"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55" i="89"/>
  <c r="A54" i="89"/>
  <c r="A53" i="89"/>
  <c r="A52" i="89"/>
  <c r="A51" i="89"/>
  <c r="A50" i="89"/>
  <c r="A49" i="89"/>
  <c r="A48" i="89"/>
  <c r="A47" i="89"/>
  <c r="A46" i="89"/>
  <c r="A42" i="89"/>
  <c r="A41" i="89"/>
  <c r="A40" i="89"/>
  <c r="A39" i="89"/>
  <c r="A38"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55" i="88"/>
  <c r="A54" i="88"/>
  <c r="A53" i="88"/>
  <c r="A52" i="88"/>
  <c r="A51" i="88"/>
  <c r="A50" i="88"/>
  <c r="A49" i="88"/>
  <c r="A48" i="88"/>
  <c r="A47" i="88"/>
  <c r="A46" i="88"/>
  <c r="A42" i="88"/>
  <c r="A41" i="88"/>
  <c r="A40" i="88"/>
  <c r="A39" i="88"/>
  <c r="A38"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55" i="87"/>
  <c r="A54" i="87"/>
  <c r="A53" i="87"/>
  <c r="A52" i="87"/>
  <c r="A51" i="87"/>
  <c r="A50" i="87"/>
  <c r="A49" i="87"/>
  <c r="A48" i="87"/>
  <c r="A47" i="87"/>
  <c r="A46" i="87"/>
  <c r="A42" i="87"/>
  <c r="A41" i="87"/>
  <c r="A40" i="87"/>
  <c r="A39" i="87"/>
  <c r="A38"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55" i="86"/>
  <c r="A54" i="86"/>
  <c r="A53" i="86"/>
  <c r="A52" i="86"/>
  <c r="A51" i="86"/>
  <c r="A50" i="86"/>
  <c r="A49" i="86"/>
  <c r="A48" i="86"/>
  <c r="A47" i="86"/>
  <c r="A46" i="86"/>
  <c r="A42" i="86"/>
  <c r="A41" i="86"/>
  <c r="A40" i="86"/>
  <c r="A39" i="86"/>
  <c r="A38"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55" i="85"/>
  <c r="A54" i="85"/>
  <c r="A53" i="85"/>
  <c r="A52" i="85"/>
  <c r="A51" i="85"/>
  <c r="A50" i="85"/>
  <c r="A49" i="85"/>
  <c r="A48" i="85"/>
  <c r="A47" i="85"/>
  <c r="A46" i="85"/>
  <c r="A42" i="85"/>
  <c r="A41" i="85"/>
  <c r="A40" i="85"/>
  <c r="A39" i="85"/>
  <c r="A38"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55" i="83"/>
  <c r="A54" i="83"/>
  <c r="A53" i="83"/>
  <c r="A52" i="83"/>
  <c r="A51" i="83"/>
  <c r="A50" i="83"/>
  <c r="A49" i="83"/>
  <c r="A48" i="83"/>
  <c r="A47" i="83"/>
  <c r="A46" i="83"/>
  <c r="A42" i="83"/>
  <c r="A41" i="83"/>
  <c r="A40" i="83"/>
  <c r="A39" i="83"/>
  <c r="A38"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55" i="82"/>
  <c r="A54" i="82"/>
  <c r="A53" i="82"/>
  <c r="A52" i="82"/>
  <c r="A51" i="82"/>
  <c r="A50" i="82"/>
  <c r="A49" i="82"/>
  <c r="A48" i="82"/>
  <c r="A47" i="82"/>
  <c r="A46" i="82"/>
  <c r="A42" i="82"/>
  <c r="A41" i="82"/>
  <c r="A40" i="82"/>
  <c r="A39" i="82"/>
  <c r="A38"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55" i="81"/>
  <c r="A54" i="81"/>
  <c r="A53" i="81"/>
  <c r="A52" i="81"/>
  <c r="A51" i="81"/>
  <c r="A50" i="81"/>
  <c r="A49" i="81"/>
  <c r="A48" i="81"/>
  <c r="A47" i="81"/>
  <c r="A46" i="81"/>
  <c r="A42" i="81"/>
  <c r="A41" i="81"/>
  <c r="A40" i="81"/>
  <c r="A39" i="81"/>
  <c r="A38"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55" i="80"/>
  <c r="A54" i="80"/>
  <c r="A53" i="80"/>
  <c r="A52" i="80"/>
  <c r="A51" i="80"/>
  <c r="A50" i="80"/>
  <c r="A49" i="80"/>
  <c r="A48" i="80"/>
  <c r="A47" i="80"/>
  <c r="A46" i="80"/>
  <c r="A42" i="80"/>
  <c r="A41" i="80"/>
  <c r="A40" i="80"/>
  <c r="A39" i="80"/>
  <c r="A38"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55" i="77"/>
  <c r="A54" i="77"/>
  <c r="A53" i="77"/>
  <c r="A52" i="77"/>
  <c r="A51" i="77"/>
  <c r="A50" i="77"/>
  <c r="A49" i="77"/>
  <c r="A48" i="77"/>
  <c r="A47" i="77"/>
  <c r="A46" i="77"/>
  <c r="A42" i="77"/>
  <c r="A41" i="77"/>
  <c r="A40" i="77"/>
  <c r="A39" i="77"/>
  <c r="A38" i="77"/>
  <c r="A37" i="77"/>
  <c r="A36" i="77"/>
  <c r="A35" i="77"/>
  <c r="A34" i="77"/>
  <c r="A33" i="77"/>
  <c r="A32" i="77"/>
  <c r="A31" i="77"/>
  <c r="A30" i="77"/>
  <c r="A29" i="77"/>
  <c r="A28" i="77"/>
  <c r="A27" i="77"/>
  <c r="A26" i="77"/>
  <c r="A25" i="77"/>
  <c r="A24" i="77"/>
  <c r="A20" i="77"/>
  <c r="A19" i="77"/>
  <c r="A18" i="77"/>
  <c r="A17" i="77"/>
  <c r="A16" i="77"/>
  <c r="A15" i="77"/>
  <c r="A14" i="77"/>
  <c r="A13" i="77"/>
  <c r="A12" i="77"/>
  <c r="A11" i="77"/>
  <c r="A10" i="77"/>
  <c r="A9" i="77"/>
  <c r="A5" i="77"/>
  <c r="A4" i="77"/>
  <c r="A3" i="77"/>
  <c r="A55" i="108"/>
  <c r="A54" i="108"/>
  <c r="A53" i="108"/>
  <c r="A52" i="108"/>
  <c r="A51" i="108"/>
  <c r="A50" i="108"/>
  <c r="A49" i="108"/>
  <c r="A48" i="108"/>
  <c r="A47" i="108"/>
  <c r="A46" i="108"/>
  <c r="A42" i="108"/>
  <c r="A41" i="108"/>
  <c r="A40" i="108"/>
  <c r="A39" i="108"/>
  <c r="A38"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55" i="107"/>
  <c r="A54" i="107"/>
  <c r="A53" i="107"/>
  <c r="A52" i="107"/>
  <c r="A51" i="107"/>
  <c r="A50" i="107"/>
  <c r="A49" i="107"/>
  <c r="A48" i="107"/>
  <c r="A47" i="107"/>
  <c r="A46" i="107"/>
  <c r="A42" i="107"/>
  <c r="A41" i="107"/>
  <c r="A40" i="107"/>
  <c r="A39" i="107"/>
  <c r="A38"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55" i="106"/>
  <c r="A54" i="106"/>
  <c r="A53" i="106"/>
  <c r="A52" i="106"/>
  <c r="A51" i="106"/>
  <c r="A50" i="106"/>
  <c r="A49" i="106"/>
  <c r="A48" i="106"/>
  <c r="A47" i="106"/>
  <c r="A46" i="106"/>
  <c r="A42" i="106"/>
  <c r="A41" i="106"/>
  <c r="A40" i="106"/>
  <c r="A39" i="106"/>
  <c r="A38"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55" i="92"/>
  <c r="A54" i="92"/>
  <c r="A53" i="92"/>
  <c r="A52" i="92"/>
  <c r="A51" i="92"/>
  <c r="A50" i="92"/>
  <c r="A49" i="92"/>
  <c r="A48" i="92"/>
  <c r="A47" i="92"/>
  <c r="A46" i="92"/>
  <c r="A42" i="92"/>
  <c r="A41" i="92"/>
  <c r="A40" i="92"/>
  <c r="A39" i="92"/>
  <c r="A38"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55" i="95"/>
  <c r="A54" i="95"/>
  <c r="A53" i="95"/>
  <c r="A52" i="95"/>
  <c r="A51" i="95"/>
  <c r="A50" i="95"/>
  <c r="A49" i="95"/>
  <c r="A48" i="95"/>
  <c r="A47" i="95"/>
  <c r="A46" i="95"/>
  <c r="A42" i="95"/>
  <c r="A41" i="95"/>
  <c r="A40" i="95"/>
  <c r="A39" i="95"/>
  <c r="A38"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55" i="84"/>
  <c r="A54" i="84"/>
  <c r="A53" i="84"/>
  <c r="A52" i="84"/>
  <c r="A51" i="84"/>
  <c r="A50" i="84"/>
  <c r="A49" i="84"/>
  <c r="A48" i="84"/>
  <c r="A47" i="84"/>
  <c r="A46" i="84"/>
  <c r="A42" i="84"/>
  <c r="A41" i="84"/>
  <c r="A40" i="84"/>
  <c r="A39" i="84"/>
  <c r="A38"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55" i="102"/>
  <c r="A54" i="102"/>
  <c r="A53" i="102"/>
  <c r="A52" i="102"/>
  <c r="A51" i="102"/>
  <c r="A50" i="102"/>
  <c r="A49" i="102"/>
  <c r="A48" i="102"/>
  <c r="A47" i="102"/>
  <c r="A46" i="102"/>
  <c r="A42" i="102"/>
  <c r="A41" i="102"/>
  <c r="A40" i="102"/>
  <c r="A39" i="102"/>
  <c r="A38"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55" i="76"/>
  <c r="A54" i="76"/>
  <c r="A53" i="76"/>
  <c r="A52" i="76"/>
  <c r="A51" i="76"/>
  <c r="A50" i="76"/>
  <c r="A49" i="76"/>
  <c r="A48" i="76"/>
  <c r="A47" i="76"/>
  <c r="A46" i="76"/>
  <c r="A42" i="76"/>
  <c r="A41" i="76"/>
  <c r="A40" i="76"/>
  <c r="A39" i="76"/>
  <c r="A38"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55" i="79"/>
  <c r="A54" i="79"/>
  <c r="A53" i="79"/>
  <c r="A52" i="79"/>
  <c r="A51" i="79"/>
  <c r="A50" i="79"/>
  <c r="A49" i="79"/>
  <c r="A48" i="79"/>
  <c r="A47" i="79"/>
  <c r="A46" i="79"/>
  <c r="A42" i="79"/>
  <c r="A41" i="79"/>
  <c r="A40" i="79"/>
  <c r="A39" i="79"/>
  <c r="A38"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55" i="75"/>
  <c r="A54" i="75"/>
  <c r="A53" i="75"/>
  <c r="A52" i="75"/>
  <c r="A51" i="75"/>
  <c r="A50" i="75"/>
  <c r="A49" i="75"/>
  <c r="A48" i="75"/>
  <c r="A47" i="75"/>
  <c r="A46" i="75"/>
  <c r="A42" i="75"/>
  <c r="A41" i="75"/>
  <c r="A40" i="75"/>
  <c r="A39" i="75"/>
  <c r="A38"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55" i="72"/>
  <c r="A54" i="72"/>
  <c r="A53" i="72"/>
  <c r="A52" i="72"/>
  <c r="A51" i="72"/>
  <c r="A50" i="72"/>
  <c r="A49" i="72"/>
  <c r="A48" i="72"/>
  <c r="A47" i="72"/>
  <c r="A46" i="72"/>
  <c r="A42" i="72"/>
  <c r="A41" i="72"/>
  <c r="A40" i="72"/>
  <c r="A39" i="72"/>
  <c r="A38"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55" i="13"/>
  <c r="A54" i="13"/>
  <c r="A53" i="13"/>
  <c r="A52" i="13"/>
  <c r="A51" i="13"/>
  <c r="A50" i="13"/>
  <c r="A49" i="13"/>
  <c r="A48" i="13"/>
  <c r="A47" i="13"/>
  <c r="A46" i="13"/>
  <c r="A42" i="13"/>
  <c r="A41" i="13"/>
  <c r="A40" i="13"/>
  <c r="A39" i="13"/>
  <c r="A38"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55" i="71"/>
  <c r="A54" i="71"/>
  <c r="A53" i="71"/>
  <c r="A52" i="71"/>
  <c r="A51" i="71"/>
  <c r="A50" i="71"/>
  <c r="A49" i="71"/>
  <c r="A48" i="71"/>
  <c r="A47" i="71"/>
  <c r="A46" i="71"/>
  <c r="A42" i="71"/>
  <c r="A41" i="71"/>
  <c r="A40" i="71"/>
  <c r="A39" i="71"/>
  <c r="A38"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U23" i="77"/>
  <c r="X22" i="77"/>
  <c r="W22" i="77"/>
  <c r="U22" i="77"/>
  <c r="G21" i="77"/>
  <c r="F21" i="77"/>
  <c r="E21" i="77"/>
  <c r="D21" i="77"/>
  <c r="F627" i="109" a="1"/>
  <c r="F627" i="109" s="1"/>
  <c r="E627" i="109" a="1"/>
  <c r="E627" i="109" s="1"/>
  <c r="D627" i="109" a="1"/>
  <c r="D627" i="109" s="1"/>
  <c r="F609" i="109" a="1"/>
  <c r="F609" i="109" s="1"/>
  <c r="E609" i="109" a="1"/>
  <c r="E609" i="109" s="1"/>
  <c r="D609" i="109" a="1"/>
  <c r="D609" i="109" s="1"/>
  <c r="F490" i="109" a="1"/>
  <c r="F490" i="109" s="1"/>
  <c r="E490" i="109" a="1"/>
  <c r="E490" i="109" s="1"/>
  <c r="K490" i="109" s="1" a="1"/>
  <c r="K490" i="109" s="1"/>
  <c r="D490" i="109" a="1"/>
  <c r="D490" i="109" s="1"/>
  <c r="F448" i="109" a="1"/>
  <c r="F448" i="109" s="1"/>
  <c r="J448" i="109" s="1" a="1"/>
  <c r="J448" i="109" s="1"/>
  <c r="E448" i="109" a="1"/>
  <c r="D448" i="109" a="1"/>
  <c r="D448" i="109" s="1"/>
  <c r="F430" i="109" a="1"/>
  <c r="F430" i="109" s="1"/>
  <c r="J430" i="109" s="1" a="1"/>
  <c r="J430" i="109" s="1"/>
  <c r="E430" i="109" a="1"/>
  <c r="E430" i="109" s="1"/>
  <c r="D430" i="109" a="1"/>
  <c r="D430" i="109" s="1"/>
  <c r="F399" i="109" a="1"/>
  <c r="F399" i="109" s="1"/>
  <c r="E399" i="109" a="1"/>
  <c r="E399" i="109" s="1"/>
  <c r="D399" i="109" a="1"/>
  <c r="D399" i="109" s="1"/>
  <c r="E367" i="109" a="1"/>
  <c r="E367" i="109" s="1"/>
  <c r="D367" i="109" a="1"/>
  <c r="D367" i="109" s="1"/>
  <c r="G336" i="109" a="1"/>
  <c r="G336" i="109" s="1"/>
  <c r="L336" i="109" s="1"/>
  <c r="F336" i="109" a="1"/>
  <c r="F336" i="109" s="1"/>
  <c r="E336" i="109" a="1"/>
  <c r="E336" i="109" s="1"/>
  <c r="D336" i="109" a="1"/>
  <c r="D336" i="109" s="1"/>
  <c r="D305" i="109" a="1"/>
  <c r="D305" i="109" s="1"/>
  <c r="AD237" i="109" a="1"/>
  <c r="AD237" i="109" s="1"/>
  <c r="AC237" i="109" a="1"/>
  <c r="Z237" i="109" a="1"/>
  <c r="Z237" i="109" s="1"/>
  <c r="Y237" i="109" a="1"/>
  <c r="Y237" i="109" s="1"/>
  <c r="V237" i="109" a="1"/>
  <c r="V237" i="109" s="1"/>
  <c r="U237" i="109" a="1"/>
  <c r="R237" i="109" a="1"/>
  <c r="R237" i="109" s="1"/>
  <c r="Q237" i="109" a="1"/>
  <c r="Q237" i="109" s="1"/>
  <c r="D237" i="109" a="1"/>
  <c r="D237" i="109" s="1"/>
  <c r="D221" i="109" a="1"/>
  <c r="D221" i="109" s="1"/>
  <c r="AA119" i="109" a="1"/>
  <c r="AA119" i="109" s="1"/>
  <c r="Z119" i="109" a="1"/>
  <c r="Z119" i="109" s="1"/>
  <c r="Y119" i="109" a="1"/>
  <c r="W119" i="109" a="1"/>
  <c r="W119" i="109" s="1"/>
  <c r="V119" i="109" a="1"/>
  <c r="V119" i="109" s="1"/>
  <c r="U119" i="109" a="1"/>
  <c r="U119" i="109" s="1"/>
  <c r="S119" i="109" a="1"/>
  <c r="S119" i="109" s="1"/>
  <c r="R119" i="109" a="1"/>
  <c r="R119" i="109" s="1"/>
  <c r="Q119" i="109" a="1"/>
  <c r="Q119" i="109" s="1"/>
  <c r="O119" i="109" a="1"/>
  <c r="O119" i="109" s="1"/>
  <c r="N119" i="109" a="1"/>
  <c r="N119" i="109" s="1"/>
  <c r="M119" i="109" a="1"/>
  <c r="M119" i="109" s="1"/>
  <c r="E119" i="109" a="1"/>
  <c r="E119" i="109" s="1"/>
  <c r="I119" i="109" s="1" a="1"/>
  <c r="I119" i="109" s="1"/>
  <c r="D119" i="109" a="1"/>
  <c r="D119" i="109" s="1"/>
  <c r="K23" i="109" a="1"/>
  <c r="K23" i="109" s="1"/>
  <c r="G23" i="109" a="1"/>
  <c r="G23" i="109" s="1"/>
  <c r="F23" i="109" a="1"/>
  <c r="F23" i="109" s="1"/>
  <c r="E23" i="109" a="1"/>
  <c r="E23" i="109" s="1"/>
  <c r="D23" i="109" a="1"/>
  <c r="D23" i="109" s="1"/>
  <c r="D32" i="97"/>
  <c r="D25" i="97"/>
  <c r="M39" i="96" a="1"/>
  <c r="M39" i="96" s="1"/>
  <c r="F39" i="96"/>
  <c r="D37" i="96"/>
  <c r="D34" i="96"/>
  <c r="D33" i="96"/>
  <c r="D25" i="96"/>
  <c r="D75" i="90"/>
  <c r="D74" i="90"/>
  <c r="D73" i="90"/>
  <c r="D72" i="90"/>
  <c r="D71" i="90"/>
  <c r="D70" i="90"/>
  <c r="D69" i="90"/>
  <c r="D68" i="90"/>
  <c r="D134" i="89" a="1"/>
  <c r="D134" i="89" s="1"/>
  <c r="D102" i="89" a="1"/>
  <c r="D102" i="89" s="1"/>
  <c r="G25" i="88" a="1"/>
  <c r="G25" i="88" s="1"/>
  <c r="F25" i="88" a="1"/>
  <c r="F25" i="88" s="1"/>
  <c r="D25" i="88" a="1"/>
  <c r="D25" i="88" s="1"/>
  <c r="H20" i="87" a="1"/>
  <c r="H20" i="87" s="1"/>
  <c r="E20" i="87" a="1"/>
  <c r="E20" i="87" s="1"/>
  <c r="D20" i="87" a="1"/>
  <c r="D20" i="87" s="1"/>
  <c r="N82" i="85" a="1"/>
  <c r="N82" i="85" s="1"/>
  <c r="N77" i="85" a="1"/>
  <c r="N77" i="85" s="1"/>
  <c r="W54" i="85"/>
  <c r="W53" i="85"/>
  <c r="N50" i="85" a="1"/>
  <c r="N50" i="85" s="1"/>
  <c r="N45" i="85" a="1"/>
  <c r="N45" i="85" s="1"/>
  <c r="I148" i="81"/>
  <c r="G87" i="81"/>
  <c r="F87" i="81"/>
  <c r="E87" i="81"/>
  <c r="D87"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F33" i="80"/>
  <c r="E33" i="80"/>
  <c r="F32" i="80"/>
  <c r="E32" i="80"/>
  <c r="F31" i="80"/>
  <c r="E31" i="80"/>
  <c r="F30" i="80"/>
  <c r="E30" i="80"/>
  <c r="H25" i="80"/>
  <c r="G25" i="80"/>
  <c r="F25" i="80"/>
  <c r="E25" i="80"/>
  <c r="H24" i="80"/>
  <c r="G24" i="80"/>
  <c r="F24" i="80"/>
  <c r="E24" i="80"/>
  <c r="H23" i="80"/>
  <c r="G23" i="80"/>
  <c r="F23" i="80"/>
  <c r="E23" i="80"/>
  <c r="H22" i="80"/>
  <c r="G22" i="80"/>
  <c r="F22" i="80"/>
  <c r="E22" i="80"/>
  <c r="E30" i="92"/>
  <c r="E29" i="92"/>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J200" i="76" a="1"/>
  <c r="J200" i="76" s="1"/>
  <c r="J199" i="76" a="1"/>
  <c r="J199" i="76" s="1"/>
  <c r="J198" i="76" a="1"/>
  <c r="J198" i="76" s="1"/>
  <c r="J197" i="76" a="1"/>
  <c r="J197" i="76" s="1"/>
  <c r="J196" i="76" a="1"/>
  <c r="J196" i="76" s="1"/>
  <c r="J195" i="76" a="1"/>
  <c r="J195" i="76" s="1"/>
  <c r="J194" i="76" a="1"/>
  <c r="J194" i="76" s="1"/>
  <c r="J193" i="76" a="1"/>
  <c r="J193" i="76" s="1"/>
  <c r="J192" i="76" a="1"/>
  <c r="J192" i="76" s="1"/>
  <c r="J200" i="79" a="1"/>
  <c r="J200" i="79" s="1"/>
  <c r="J199" i="79" a="1"/>
  <c r="J199" i="79" s="1"/>
  <c r="J198" i="79" a="1"/>
  <c r="J198" i="79" s="1"/>
  <c r="J197" i="79" a="1"/>
  <c r="J197" i="79" s="1"/>
  <c r="J196" i="79" a="1"/>
  <c r="J196" i="79" s="1"/>
  <c r="J195" i="79" a="1"/>
  <c r="J195" i="79" s="1"/>
  <c r="J194" i="79" a="1"/>
  <c r="J194" i="79" s="1"/>
  <c r="J193" i="79" a="1"/>
  <c r="J193" i="79" s="1"/>
  <c r="J192" i="79" a="1"/>
  <c r="J192" i="79" s="1"/>
  <c r="E65" i="112" a="1"/>
  <c r="E65" i="112" s="1"/>
  <c r="D65" i="112" a="1"/>
  <c r="D65" i="112" s="1"/>
  <c r="D63" i="112" a="1"/>
  <c r="D63" i="112" s="1"/>
  <c r="D62" i="112" a="1"/>
  <c r="D62" i="112" s="1"/>
  <c r="E60" i="112" a="1"/>
  <c r="E60" i="112" s="1"/>
  <c r="D60" i="112" a="1"/>
  <c r="D60" i="112" s="1"/>
  <c r="D58" i="112" a="1"/>
  <c r="D58" i="112" s="1"/>
  <c r="D57" i="112" a="1"/>
  <c r="D57" i="112" s="1"/>
  <c r="E55" i="112" a="1"/>
  <c r="E55" i="112" s="1"/>
  <c r="D55" i="112" a="1"/>
  <c r="D55" i="112" s="1"/>
  <c r="D53" i="112" a="1"/>
  <c r="D53" i="112" s="1"/>
  <c r="D52" i="112" a="1"/>
  <c r="D52" i="112" s="1"/>
  <c r="E50" i="112" a="1"/>
  <c r="E50" i="112" s="1"/>
  <c r="D50" i="112" a="1"/>
  <c r="D50" i="112" s="1"/>
  <c r="E49" i="112" a="1"/>
  <c r="E49" i="112" s="1"/>
  <c r="D49" i="112" a="1"/>
  <c r="D49" i="112" s="1"/>
  <c r="E48" i="112" a="1"/>
  <c r="E48" i="112" s="1"/>
  <c r="D48" i="112" a="1"/>
  <c r="D48" i="112" s="1"/>
  <c r="E47" i="112" a="1"/>
  <c r="E47" i="112" s="1"/>
  <c r="D47" i="112" a="1"/>
  <c r="D47" i="112" s="1"/>
  <c r="E46" i="112" a="1"/>
  <c r="E46" i="112" s="1"/>
  <c r="D46" i="112" a="1"/>
  <c r="D46" i="112" s="1"/>
  <c r="E45" i="112" a="1"/>
  <c r="E45" i="112" s="1"/>
  <c r="D45" i="112" a="1"/>
  <c r="D45" i="112" s="1"/>
  <c r="E44" i="112" a="1"/>
  <c r="E44" i="112" s="1"/>
  <c r="D44" i="112" a="1"/>
  <c r="D44" i="112" s="1"/>
  <c r="D42" i="112" a="1"/>
  <c r="D42" i="112" s="1"/>
  <c r="D41" i="112" a="1"/>
  <c r="D41" i="112" s="1"/>
  <c r="E39" i="112" a="1"/>
  <c r="E39" i="112" s="1"/>
  <c r="D39" i="112" a="1"/>
  <c r="D39" i="112" s="1"/>
  <c r="E38" i="112" a="1"/>
  <c r="E38" i="112" s="1"/>
  <c r="D38" i="112" a="1"/>
  <c r="D38" i="112" s="1"/>
  <c r="E37" i="112" a="1"/>
  <c r="E37" i="112" s="1"/>
  <c r="D37" i="112" a="1"/>
  <c r="D37" i="112" s="1"/>
  <c r="E36" i="112" a="1"/>
  <c r="E36" i="112" s="1"/>
  <c r="D36" i="112" a="1"/>
  <c r="D36" i="112" s="1"/>
  <c r="E35" i="112" a="1"/>
  <c r="E35" i="112" s="1"/>
  <c r="D35" i="112" a="1"/>
  <c r="D35" i="112" s="1"/>
  <c r="E34" i="112" a="1"/>
  <c r="E34" i="112" s="1"/>
  <c r="D34" i="112" a="1"/>
  <c r="D34" i="112" s="1"/>
  <c r="E33" i="112" a="1"/>
  <c r="E33" i="112" s="1"/>
  <c r="D33" i="112" a="1"/>
  <c r="D33" i="112" s="1"/>
  <c r="E32" i="112" a="1"/>
  <c r="E32" i="112" s="1"/>
  <c r="D32" i="112" a="1"/>
  <c r="D32" i="112" s="1"/>
  <c r="D30" i="112" a="1"/>
  <c r="D30" i="112" s="1"/>
  <c r="D29" i="112" a="1"/>
  <c r="D29" i="112" s="1"/>
  <c r="F27" i="112" a="1"/>
  <c r="F27" i="112" s="1"/>
  <c r="E27" i="112" a="1"/>
  <c r="E27" i="112" s="1"/>
  <c r="D27" i="112" a="1"/>
  <c r="D27" i="112" s="1"/>
  <c r="F26" i="112" a="1"/>
  <c r="F26" i="112" s="1"/>
  <c r="E26" i="112" a="1"/>
  <c r="E26" i="112" s="1"/>
  <c r="D26" i="112" a="1"/>
  <c r="D26" i="112" s="1"/>
  <c r="F25" i="112" a="1"/>
  <c r="F25" i="112" s="1"/>
  <c r="E25" i="112" a="1"/>
  <c r="E25" i="112" s="1"/>
  <c r="D25" i="112" a="1"/>
  <c r="D25" i="112" s="1"/>
  <c r="F24" i="112" a="1"/>
  <c r="F24" i="112" s="1"/>
  <c r="E24" i="112" a="1"/>
  <c r="E24" i="112" s="1"/>
  <c r="D24" i="112" a="1"/>
  <c r="D24" i="112" s="1"/>
  <c r="F23" i="112" a="1"/>
  <c r="F23" i="112" s="1"/>
  <c r="E23" i="112" a="1"/>
  <c r="E23" i="112" s="1"/>
  <c r="D23" i="112" a="1"/>
  <c r="D23" i="112" s="1"/>
  <c r="F22" i="112" a="1"/>
  <c r="F22" i="112" s="1"/>
  <c r="E22" i="112" a="1"/>
  <c r="E22" i="112" s="1"/>
  <c r="D22" i="112" a="1"/>
  <c r="D22" i="112" s="1"/>
  <c r="F21" i="112" a="1"/>
  <c r="F21" i="112" s="1"/>
  <c r="E21" i="112" a="1"/>
  <c r="E21" i="112" s="1"/>
  <c r="D21" i="112" a="1"/>
  <c r="D21" i="112" s="1"/>
  <c r="F20" i="112" a="1"/>
  <c r="F20" i="112" s="1"/>
  <c r="E20" i="112" a="1"/>
  <c r="E20" i="112" s="1"/>
  <c r="D20" i="112" a="1"/>
  <c r="D20" i="112" s="1"/>
  <c r="F19" i="112" a="1"/>
  <c r="F19" i="112" s="1"/>
  <c r="E19" i="112" a="1"/>
  <c r="E19" i="112" s="1"/>
  <c r="D19" i="112" a="1"/>
  <c r="D19" i="112" s="1"/>
  <c r="F18" i="112" a="1"/>
  <c r="F18" i="112" s="1"/>
  <c r="E18" i="112" a="1"/>
  <c r="E18" i="112" s="1"/>
  <c r="D18" i="112" a="1"/>
  <c r="D18" i="112" s="1"/>
  <c r="F17" i="112" a="1"/>
  <c r="F17" i="112" s="1"/>
  <c r="E17" i="112" a="1"/>
  <c r="E17" i="112" s="1"/>
  <c r="D17" i="112" a="1"/>
  <c r="D17" i="112" s="1"/>
  <c r="F16" i="112" a="1"/>
  <c r="F16" i="112" s="1"/>
  <c r="E16" i="112" a="1"/>
  <c r="E16" i="112" s="1"/>
  <c r="D16" i="112" a="1"/>
  <c r="D16" i="112" s="1"/>
  <c r="F15" i="112" a="1"/>
  <c r="F15" i="112" s="1"/>
  <c r="E15" i="112" a="1"/>
  <c r="E15" i="112" s="1"/>
  <c r="D15" i="112" a="1"/>
  <c r="D15"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D8" i="112" a="1"/>
  <c r="D8" i="112" s="1"/>
  <c r="D7" i="112" a="1"/>
  <c r="D7" i="112" s="1"/>
  <c r="D6" i="112" a="1"/>
  <c r="D6" i="112" s="1"/>
  <c r="I237" i="111" a="1"/>
  <c r="I237" i="111" s="1"/>
  <c r="H237" i="111" a="1"/>
  <c r="H237" i="111" s="1"/>
  <c r="G237" i="111" a="1"/>
  <c r="G237" i="111" s="1"/>
  <c r="F237" i="111" a="1"/>
  <c r="F237" i="111" s="1"/>
  <c r="E237" i="111" a="1"/>
  <c r="E237" i="111" s="1"/>
  <c r="D237" i="111" a="1"/>
  <c r="D237" i="111" s="1"/>
  <c r="I236" i="111" a="1"/>
  <c r="I236" i="111" s="1"/>
  <c r="H236" i="111" a="1"/>
  <c r="H236" i="111" s="1"/>
  <c r="G236" i="111" a="1"/>
  <c r="G236" i="111" s="1"/>
  <c r="F236" i="111" a="1"/>
  <c r="F236" i="111" s="1"/>
  <c r="E236" i="111" a="1"/>
  <c r="E236" i="111" s="1"/>
  <c r="D236" i="111" a="1"/>
  <c r="D236" i="111" s="1"/>
  <c r="I235" i="111" a="1"/>
  <c r="I235" i="111" s="1"/>
  <c r="H235" i="111" a="1"/>
  <c r="H235" i="111" s="1"/>
  <c r="G235" i="111" a="1"/>
  <c r="G235" i="111" s="1"/>
  <c r="F235" i="111" a="1"/>
  <c r="F235" i="111" s="1"/>
  <c r="E235" i="111" a="1"/>
  <c r="E235" i="111" s="1"/>
  <c r="E301" i="109" s="1" a="1"/>
  <c r="E301" i="109" s="1"/>
  <c r="D235" i="111" a="1"/>
  <c r="D235" i="111" s="1"/>
  <c r="I231" i="111" a="1"/>
  <c r="I231" i="111" s="1"/>
  <c r="H231" i="111" a="1"/>
  <c r="H231" i="111" s="1"/>
  <c r="G231" i="111" a="1"/>
  <c r="G231" i="111" s="1"/>
  <c r="F231" i="111" a="1"/>
  <c r="F231" i="111" s="1"/>
  <c r="E231" i="111" a="1"/>
  <c r="E231" i="111" s="1"/>
  <c r="D231" i="111" a="1"/>
  <c r="D231" i="111" s="1"/>
  <c r="I230" i="111" a="1"/>
  <c r="I230" i="111" s="1"/>
  <c r="H230" i="111" a="1"/>
  <c r="H230" i="111" s="1"/>
  <c r="G230" i="111" a="1"/>
  <c r="G230" i="111" s="1"/>
  <c r="F230" i="111" a="1"/>
  <c r="F230" i="111" s="1"/>
  <c r="E230" i="111" a="1"/>
  <c r="E230" i="111" s="1"/>
  <c r="D230" i="111" a="1"/>
  <c r="D230" i="111" s="1"/>
  <c r="I229" i="111" a="1"/>
  <c r="I229" i="111" s="1"/>
  <c r="H229" i="111" a="1"/>
  <c r="H229" i="111" s="1"/>
  <c r="G229" i="111" a="1"/>
  <c r="G229" i="111" s="1"/>
  <c r="F229" i="111" a="1"/>
  <c r="F229" i="111" s="1"/>
  <c r="E229" i="111" a="1"/>
  <c r="E229" i="111" s="1"/>
  <c r="D229" i="111" a="1"/>
  <c r="D229" i="111" s="1"/>
  <c r="I228" i="111" a="1"/>
  <c r="I228" i="111" s="1"/>
  <c r="H228" i="111" a="1"/>
  <c r="H228" i="111" s="1"/>
  <c r="G228" i="111" a="1"/>
  <c r="G228" i="111" s="1"/>
  <c r="F228" i="111" a="1"/>
  <c r="F228" i="111" s="1"/>
  <c r="E228" i="111" a="1"/>
  <c r="E228" i="111" s="1"/>
  <c r="D228" i="111" a="1"/>
  <c r="D228" i="111" s="1"/>
  <c r="I227" i="111" a="1"/>
  <c r="I227" i="111" s="1"/>
  <c r="H227" i="111" a="1"/>
  <c r="H227" i="111" s="1"/>
  <c r="G227" i="111" a="1"/>
  <c r="G227" i="111" s="1"/>
  <c r="F227" i="111" a="1"/>
  <c r="F227" i="111" s="1"/>
  <c r="E227" i="111" a="1"/>
  <c r="E227" i="111" s="1"/>
  <c r="D227" i="111" a="1"/>
  <c r="D227" i="111" s="1"/>
  <c r="I226" i="111" a="1"/>
  <c r="I226" i="111" s="1"/>
  <c r="H226" i="111" a="1"/>
  <c r="H226" i="111" s="1"/>
  <c r="G226" i="111" a="1"/>
  <c r="G226" i="111" s="1"/>
  <c r="F226" i="111" a="1"/>
  <c r="F226" i="111" s="1"/>
  <c r="E226" i="111" a="1"/>
  <c r="E226" i="111" s="1"/>
  <c r="D226" i="111" a="1"/>
  <c r="D226" i="111" s="1"/>
  <c r="I225" i="111" a="1"/>
  <c r="I225" i="111" s="1"/>
  <c r="H225" i="111" a="1"/>
  <c r="H225" i="111" s="1"/>
  <c r="G225" i="111" a="1"/>
  <c r="G225" i="111" s="1"/>
  <c r="F225" i="111" a="1"/>
  <c r="F225" i="111" s="1"/>
  <c r="E225" i="111" a="1"/>
  <c r="E225" i="111" s="1"/>
  <c r="D225" i="111" a="1"/>
  <c r="D225" i="111" s="1"/>
  <c r="I224" i="111" a="1"/>
  <c r="I224" i="111" s="1"/>
  <c r="H224" i="111" a="1"/>
  <c r="H224" i="111" s="1"/>
  <c r="G224" i="111" a="1"/>
  <c r="G224" i="111" s="1"/>
  <c r="F224" i="111" a="1"/>
  <c r="F224" i="111" s="1"/>
  <c r="E224" i="111" a="1"/>
  <c r="E224" i="111" s="1"/>
  <c r="D224" i="111" a="1"/>
  <c r="D224" i="111" s="1"/>
  <c r="I223" i="111" a="1"/>
  <c r="I223" i="111" s="1"/>
  <c r="H223" i="111" a="1"/>
  <c r="H223" i="111" s="1"/>
  <c r="G223" i="111" a="1"/>
  <c r="G223" i="111" s="1"/>
  <c r="F223" i="111" a="1"/>
  <c r="F223" i="111" s="1"/>
  <c r="E223" i="111" a="1"/>
  <c r="E223" i="111" s="1"/>
  <c r="D223" i="111" a="1"/>
  <c r="D223" i="111" s="1"/>
  <c r="I222" i="111" a="1"/>
  <c r="I222" i="111" s="1"/>
  <c r="H222" i="111" a="1"/>
  <c r="H222" i="111" s="1"/>
  <c r="G222" i="111" a="1"/>
  <c r="G222" i="111" s="1"/>
  <c r="F222" i="111" a="1"/>
  <c r="F222" i="111" s="1"/>
  <c r="E222" i="111" a="1"/>
  <c r="E222" i="111" s="1"/>
  <c r="D222" i="111" a="1"/>
  <c r="D222" i="111" s="1"/>
  <c r="I221" i="111" a="1"/>
  <c r="I221" i="111" s="1"/>
  <c r="H221" i="111" a="1"/>
  <c r="H221" i="111" s="1"/>
  <c r="G221" i="111" a="1"/>
  <c r="G221" i="111" s="1"/>
  <c r="F221" i="111" a="1"/>
  <c r="F221" i="111" s="1"/>
  <c r="E221" i="111" a="1"/>
  <c r="E221" i="111" s="1"/>
  <c r="D221" i="111" a="1"/>
  <c r="D221" i="111" s="1"/>
  <c r="I220" i="111" a="1"/>
  <c r="I220" i="111" s="1"/>
  <c r="H220" i="111" a="1"/>
  <c r="H220" i="111" s="1"/>
  <c r="G220" i="111" a="1"/>
  <c r="G220" i="111" s="1"/>
  <c r="F220" i="111" a="1"/>
  <c r="F220" i="111" s="1"/>
  <c r="E220" i="111" a="1"/>
  <c r="E220" i="111" s="1"/>
  <c r="D220" i="111" a="1"/>
  <c r="D220" i="111" s="1"/>
  <c r="I216" i="111" a="1"/>
  <c r="I216" i="111" s="1"/>
  <c r="H216" i="111" a="1"/>
  <c r="H216" i="111" s="1"/>
  <c r="G216" i="111" a="1"/>
  <c r="G216" i="111" s="1"/>
  <c r="F216" i="111" a="1"/>
  <c r="F216" i="111" s="1"/>
  <c r="E216" i="111" a="1"/>
  <c r="E216" i="111" s="1"/>
  <c r="D216" i="111" a="1"/>
  <c r="D216" i="111" s="1"/>
  <c r="I215" i="111" a="1"/>
  <c r="I215" i="111" s="1"/>
  <c r="H215" i="111" a="1"/>
  <c r="H215" i="111" s="1"/>
  <c r="G215" i="111" a="1"/>
  <c r="G215" i="111" s="1"/>
  <c r="F215" i="111" a="1"/>
  <c r="F215" i="111" s="1"/>
  <c r="E215" i="111" a="1"/>
  <c r="E215" i="111" s="1"/>
  <c r="D215" i="111" a="1"/>
  <c r="D215" i="111" s="1"/>
  <c r="I214" i="111" a="1"/>
  <c r="I214" i="111" s="1"/>
  <c r="H214" i="111" a="1"/>
  <c r="H214" i="111" s="1"/>
  <c r="G214" i="111" a="1"/>
  <c r="G214" i="111" s="1"/>
  <c r="F214" i="111" a="1"/>
  <c r="F214" i="111" s="1"/>
  <c r="E214" i="111" a="1"/>
  <c r="E214" i="111" s="1"/>
  <c r="D214" i="111" a="1"/>
  <c r="D214" i="111" s="1"/>
  <c r="I213" i="111" a="1"/>
  <c r="I213" i="111" s="1"/>
  <c r="H213" i="111" a="1"/>
  <c r="H213" i="111" s="1"/>
  <c r="G213" i="111" a="1"/>
  <c r="G213" i="111" s="1"/>
  <c r="F213" i="111" a="1"/>
  <c r="F213" i="111" s="1"/>
  <c r="E213" i="111" a="1"/>
  <c r="E213" i="111" s="1"/>
  <c r="G368" i="109" s="1" a="1"/>
  <c r="G368" i="109" s="1"/>
  <c r="D213" i="111" a="1"/>
  <c r="D213" i="111" s="1"/>
  <c r="I209" i="111" a="1"/>
  <c r="I209" i="111" s="1"/>
  <c r="H209" i="111" a="1"/>
  <c r="H209" i="111" s="1"/>
  <c r="G209" i="111" a="1"/>
  <c r="G209" i="111" s="1"/>
  <c r="F209" i="111" a="1"/>
  <c r="F209" i="111" s="1"/>
  <c r="E209" i="111" a="1"/>
  <c r="E209" i="111" s="1"/>
  <c r="D125" i="106" s="1"/>
  <c r="D470" i="109" s="1"/>
  <c r="F470" i="109" s="1" a="1"/>
  <c r="F470" i="109" s="1"/>
  <c r="D209" i="111" a="1"/>
  <c r="D209" i="111" s="1"/>
  <c r="I208" i="111" a="1"/>
  <c r="I208" i="111" s="1"/>
  <c r="H208" i="111" a="1"/>
  <c r="H208" i="111" s="1"/>
  <c r="G208" i="111" a="1"/>
  <c r="G208" i="111" s="1"/>
  <c r="F208" i="111" a="1"/>
  <c r="F208" i="111" s="1"/>
  <c r="E208" i="111" a="1"/>
  <c r="E208" i="111" s="1"/>
  <c r="D124" i="106" s="1"/>
  <c r="D469" i="109" s="1"/>
  <c r="F469" i="109" s="1" a="1"/>
  <c r="F469" i="109" s="1"/>
  <c r="D208" i="111" a="1"/>
  <c r="D208" i="111" s="1"/>
  <c r="I207" i="111" a="1"/>
  <c r="I207" i="111" s="1"/>
  <c r="H207" i="111" a="1"/>
  <c r="H207" i="111" s="1"/>
  <c r="G207" i="111" a="1"/>
  <c r="G207" i="111" s="1"/>
  <c r="F207" i="111" a="1"/>
  <c r="F207" i="111" s="1"/>
  <c r="E207" i="111" a="1"/>
  <c r="E207" i="111" s="1"/>
  <c r="D123" i="106" s="1"/>
  <c r="D468" i="109" s="1"/>
  <c r="F468" i="109" s="1" a="1"/>
  <c r="F468" i="109" s="1"/>
  <c r="D207" i="111" a="1"/>
  <c r="D207" i="111" s="1"/>
  <c r="I206" i="111" a="1"/>
  <c r="I206" i="111" s="1"/>
  <c r="H206" i="111" a="1"/>
  <c r="H206" i="111" s="1"/>
  <c r="G206" i="111" a="1"/>
  <c r="G206" i="111" s="1"/>
  <c r="F206" i="111" a="1"/>
  <c r="F206" i="111" s="1"/>
  <c r="E206" i="111" a="1"/>
  <c r="E206" i="111" s="1"/>
  <c r="D130" i="106" s="1"/>
  <c r="D481" i="109" s="1"/>
  <c r="F481" i="109" s="1" a="1"/>
  <c r="F481" i="109" s="1"/>
  <c r="D206" i="111" a="1"/>
  <c r="D206" i="111" s="1"/>
  <c r="I205" i="111" a="1"/>
  <c r="I205" i="111" s="1"/>
  <c r="H205" i="111" a="1"/>
  <c r="H205" i="111" s="1"/>
  <c r="G205" i="111" a="1"/>
  <c r="G205" i="111" s="1"/>
  <c r="F205" i="111" a="1"/>
  <c r="F205" i="111" s="1"/>
  <c r="E205" i="111" a="1"/>
  <c r="E205" i="111" s="1"/>
  <c r="D122" i="106" s="1"/>
  <c r="D467" i="109" s="1"/>
  <c r="F467" i="109" s="1" a="1"/>
  <c r="F467" i="109" s="1"/>
  <c r="D205" i="111" a="1"/>
  <c r="D205" i="111" s="1"/>
  <c r="I204" i="111" a="1"/>
  <c r="I204" i="111" s="1"/>
  <c r="H204" i="111" a="1"/>
  <c r="H204" i="111" s="1"/>
  <c r="G204" i="111" a="1"/>
  <c r="G204" i="111" s="1"/>
  <c r="F204" i="111" a="1"/>
  <c r="F204" i="111" s="1"/>
  <c r="E204" i="111" a="1"/>
  <c r="E204" i="111" s="1"/>
  <c r="D121" i="106" s="1"/>
  <c r="D466" i="109" s="1"/>
  <c r="F466" i="109" s="1" a="1"/>
  <c r="F466" i="109" s="1"/>
  <c r="D204" i="111" a="1"/>
  <c r="D204" i="111" s="1"/>
  <c r="I203" i="111" a="1"/>
  <c r="I203" i="111" s="1"/>
  <c r="H203" i="111" a="1"/>
  <c r="H203" i="111" s="1"/>
  <c r="G203" i="111" a="1"/>
  <c r="G203" i="111" s="1"/>
  <c r="F203" i="111" a="1"/>
  <c r="F203" i="111" s="1"/>
  <c r="E203" i="111" a="1"/>
  <c r="E203" i="111" s="1"/>
  <c r="D129" i="106" s="1"/>
  <c r="D480" i="109" s="1"/>
  <c r="F480" i="109" s="1" a="1"/>
  <c r="F480" i="109" s="1"/>
  <c r="D203" i="111" a="1"/>
  <c r="D203" i="111" s="1"/>
  <c r="I202" i="111" a="1"/>
  <c r="I202" i="111" s="1"/>
  <c r="H202" i="111" a="1"/>
  <c r="H202" i="111" s="1"/>
  <c r="G202" i="111" a="1"/>
  <c r="G202" i="111" s="1"/>
  <c r="F202" i="111" a="1"/>
  <c r="F202" i="111" s="1"/>
  <c r="E202" i="111" a="1"/>
  <c r="E202" i="111" s="1"/>
  <c r="D128" i="106" s="1"/>
  <c r="D479" i="109" s="1"/>
  <c r="F479" i="109" s="1" a="1"/>
  <c r="F479" i="109" s="1"/>
  <c r="D202" i="111" a="1"/>
  <c r="D202" i="111" s="1"/>
  <c r="M198" i="111" a="1"/>
  <c r="M198" i="111" s="1"/>
  <c r="L198" i="111" a="1"/>
  <c r="L198" i="111" s="1"/>
  <c r="K198" i="111" a="1"/>
  <c r="K198" i="111" s="1"/>
  <c r="F198" i="111" a="1"/>
  <c r="F198" i="111" s="1"/>
  <c r="E198" i="111" a="1"/>
  <c r="E198" i="111" s="1"/>
  <c r="D198" i="111" a="1"/>
  <c r="D198" i="111" s="1"/>
  <c r="M197" i="111" a="1"/>
  <c r="M197" i="111" s="1"/>
  <c r="L197" i="111" a="1"/>
  <c r="L197" i="111" s="1"/>
  <c r="K197" i="111" a="1"/>
  <c r="K197" i="111" s="1"/>
  <c r="F197" i="111" a="1"/>
  <c r="F197" i="111" s="1"/>
  <c r="E197" i="111" a="1"/>
  <c r="E197" i="111" s="1"/>
  <c r="D197" i="111" a="1"/>
  <c r="D197" i="111" s="1"/>
  <c r="M196" i="111" a="1"/>
  <c r="M196" i="111" s="1"/>
  <c r="L196" i="111" a="1"/>
  <c r="L196" i="111" s="1"/>
  <c r="K196" i="111" a="1"/>
  <c r="K196" i="111" s="1"/>
  <c r="F196" i="111" a="1"/>
  <c r="F196" i="111" s="1"/>
  <c r="E196" i="111" a="1"/>
  <c r="E196" i="111" s="1"/>
  <c r="D196" i="111" a="1"/>
  <c r="D196" i="111" s="1"/>
  <c r="M195" i="111" a="1"/>
  <c r="M195" i="111" s="1"/>
  <c r="L195" i="111" a="1"/>
  <c r="L195" i="111" s="1"/>
  <c r="K195" i="111" a="1"/>
  <c r="K195" i="111" s="1"/>
  <c r="F195" i="111" a="1"/>
  <c r="F195" i="111" s="1"/>
  <c r="E195" i="111" a="1"/>
  <c r="E195" i="111" s="1"/>
  <c r="D195" i="111" a="1"/>
  <c r="D195" i="111" s="1"/>
  <c r="M194" i="111" a="1"/>
  <c r="M194" i="111" s="1"/>
  <c r="L194" i="111" a="1"/>
  <c r="L194" i="111" s="1"/>
  <c r="K194" i="111" a="1"/>
  <c r="K194" i="111" s="1"/>
  <c r="F194" i="111" a="1"/>
  <c r="F194" i="111" s="1"/>
  <c r="E194" i="111" a="1"/>
  <c r="E194" i="111" s="1"/>
  <c r="D194" i="111" a="1"/>
  <c r="D194" i="111" s="1"/>
  <c r="M193" i="111" a="1"/>
  <c r="M193" i="111" s="1"/>
  <c r="L193" i="111" a="1"/>
  <c r="L193" i="111" s="1"/>
  <c r="K193" i="111" a="1"/>
  <c r="K193" i="111" s="1"/>
  <c r="F193" i="111" a="1"/>
  <c r="F193" i="111" s="1"/>
  <c r="E193" i="111" a="1"/>
  <c r="E193" i="111" s="1"/>
  <c r="D193" i="111" a="1"/>
  <c r="D193" i="111" s="1"/>
  <c r="M192" i="111" a="1"/>
  <c r="M192" i="111" s="1"/>
  <c r="L192" i="111" a="1"/>
  <c r="L192" i="111" s="1"/>
  <c r="K192" i="111" a="1"/>
  <c r="K192" i="111" s="1"/>
  <c r="F192" i="111" a="1"/>
  <c r="F192" i="111" s="1"/>
  <c r="E192" i="111"/>
  <c r="E192" i="111" a="1"/>
  <c r="D192" i="111" a="1"/>
  <c r="D192" i="111" s="1"/>
  <c r="M191" i="111" a="1"/>
  <c r="M191" i="111" s="1"/>
  <c r="L191" i="111" a="1"/>
  <c r="L191" i="111" s="1"/>
  <c r="K191" i="111" a="1"/>
  <c r="K191" i="111" s="1"/>
  <c r="F191" i="111" a="1"/>
  <c r="F191" i="111" s="1"/>
  <c r="E191" i="111" a="1"/>
  <c r="E191" i="111" s="1"/>
  <c r="D191" i="111" a="1"/>
  <c r="D191" i="111" s="1"/>
  <c r="M190" i="111" a="1"/>
  <c r="M190" i="111" s="1"/>
  <c r="L190" i="111" a="1"/>
  <c r="L190" i="111" s="1"/>
  <c r="K190" i="111" a="1"/>
  <c r="K190" i="111" s="1"/>
  <c r="F190" i="111" a="1"/>
  <c r="F190" i="111" s="1"/>
  <c r="E190" i="111" a="1"/>
  <c r="E190" i="111" s="1"/>
  <c r="D190" i="111" a="1"/>
  <c r="D190" i="111" s="1"/>
  <c r="M189" i="111" a="1"/>
  <c r="M189" i="111" s="1"/>
  <c r="L189" i="111" a="1"/>
  <c r="L189" i="111" s="1"/>
  <c r="K189" i="111" a="1"/>
  <c r="K189" i="111" s="1"/>
  <c r="F189" i="111" a="1"/>
  <c r="F189" i="111" s="1"/>
  <c r="E189" i="111" a="1"/>
  <c r="E189" i="111" s="1"/>
  <c r="D189" i="111" a="1"/>
  <c r="D189" i="111" s="1"/>
  <c r="M188" i="111" a="1"/>
  <c r="M188" i="111" s="1"/>
  <c r="L188" i="111" a="1"/>
  <c r="L188" i="111" s="1"/>
  <c r="K188" i="111" a="1"/>
  <c r="K188" i="111" s="1"/>
  <c r="F188" i="111" a="1"/>
  <c r="F188" i="111" s="1"/>
  <c r="E188" i="111" a="1"/>
  <c r="E188" i="111" s="1"/>
  <c r="D188" i="111" a="1"/>
  <c r="D188" i="111" s="1"/>
  <c r="M187" i="111" a="1"/>
  <c r="M187" i="111" s="1"/>
  <c r="L187" i="111" a="1"/>
  <c r="L187" i="111" s="1"/>
  <c r="K187" i="111" a="1"/>
  <c r="K187" i="111" s="1"/>
  <c r="F187" i="111" a="1"/>
  <c r="F187" i="111" s="1"/>
  <c r="E187" i="111" a="1"/>
  <c r="E187" i="111" s="1"/>
  <c r="D187" i="111" a="1"/>
  <c r="D187" i="111" s="1"/>
  <c r="M186" i="111" a="1"/>
  <c r="M186" i="111" s="1"/>
  <c r="L186" i="111" a="1"/>
  <c r="L186" i="111" s="1"/>
  <c r="K186" i="111" a="1"/>
  <c r="K186" i="111" s="1"/>
  <c r="F186" i="111" a="1"/>
  <c r="F186" i="111" s="1"/>
  <c r="E186" i="111" a="1"/>
  <c r="E186" i="111" s="1"/>
  <c r="D186" i="111" a="1"/>
  <c r="D186" i="111" s="1"/>
  <c r="M185" i="111" a="1"/>
  <c r="M185" i="111" s="1"/>
  <c r="L185" i="111" a="1"/>
  <c r="L185" i="111" s="1"/>
  <c r="K185" i="111" a="1"/>
  <c r="K185" i="111" s="1"/>
  <c r="F185" i="111" a="1"/>
  <c r="F185" i="111" s="1"/>
  <c r="E185" i="111" a="1"/>
  <c r="E185" i="111" s="1"/>
  <c r="D185" i="111" a="1"/>
  <c r="D185" i="111" s="1"/>
  <c r="M184" i="111" a="1"/>
  <c r="M184" i="111" s="1"/>
  <c r="L184" i="111" a="1"/>
  <c r="L184" i="111" s="1"/>
  <c r="K184" i="111" a="1"/>
  <c r="K184" i="111" s="1"/>
  <c r="F184" i="111" a="1"/>
  <c r="F184" i="111" s="1"/>
  <c r="E184" i="111" a="1"/>
  <c r="E184" i="111" s="1"/>
  <c r="D184" i="111" a="1"/>
  <c r="D184" i="111" s="1"/>
  <c r="M183" i="111" a="1"/>
  <c r="M183" i="111" s="1"/>
  <c r="L183" i="111" a="1"/>
  <c r="L183" i="111" s="1"/>
  <c r="K183" i="111" a="1"/>
  <c r="K183" i="111" s="1"/>
  <c r="F183" i="111" a="1"/>
  <c r="F183" i="111" s="1"/>
  <c r="E183" i="111" a="1"/>
  <c r="E183" i="111" s="1"/>
  <c r="D183" i="111" a="1"/>
  <c r="D183" i="111" s="1"/>
  <c r="M182" i="111" a="1"/>
  <c r="M182" i="111" s="1"/>
  <c r="L182" i="111" a="1"/>
  <c r="L182" i="111" s="1"/>
  <c r="K182" i="111" a="1"/>
  <c r="K182" i="111" s="1"/>
  <c r="F182" i="111" a="1"/>
  <c r="F182" i="111" s="1"/>
  <c r="E182" i="111" a="1"/>
  <c r="E182" i="111" s="1"/>
  <c r="D182" i="111" a="1"/>
  <c r="D182" i="111" s="1"/>
  <c r="M181" i="111" a="1"/>
  <c r="M181" i="111" s="1"/>
  <c r="L181" i="111" a="1"/>
  <c r="L181" i="111" s="1"/>
  <c r="K181" i="111" a="1"/>
  <c r="K181" i="111" s="1"/>
  <c r="F181" i="111" a="1"/>
  <c r="F181" i="111" s="1"/>
  <c r="E181" i="111" a="1"/>
  <c r="E181" i="111" s="1"/>
  <c r="D181" i="111" a="1"/>
  <c r="D181" i="111" s="1"/>
  <c r="M180" i="111" a="1"/>
  <c r="M180" i="111" s="1"/>
  <c r="L180" i="111" a="1"/>
  <c r="L180" i="111" s="1"/>
  <c r="K180" i="111" a="1"/>
  <c r="K180" i="111" s="1"/>
  <c r="F180" i="111" a="1"/>
  <c r="F180" i="111" s="1"/>
  <c r="E180" i="111" a="1"/>
  <c r="E180" i="111" s="1"/>
  <c r="D180" i="111" a="1"/>
  <c r="D180" i="111" s="1"/>
  <c r="M179" i="111"/>
  <c r="M179" i="111" a="1"/>
  <c r="L179" i="111" a="1"/>
  <c r="L179" i="111" s="1"/>
  <c r="K179" i="111" a="1"/>
  <c r="K179" i="111" s="1"/>
  <c r="F179" i="111" a="1"/>
  <c r="F179" i="111" s="1"/>
  <c r="E179" i="111" a="1"/>
  <c r="E179" i="111" s="1"/>
  <c r="D179" i="111" a="1"/>
  <c r="D179" i="111" s="1"/>
  <c r="M178" i="111" a="1"/>
  <c r="M178" i="111" s="1"/>
  <c r="L178" i="111" a="1"/>
  <c r="L178" i="111" s="1"/>
  <c r="K178" i="111" a="1"/>
  <c r="K178" i="111" s="1"/>
  <c r="F178" i="111" a="1"/>
  <c r="F178" i="111" s="1"/>
  <c r="E178" i="111" a="1"/>
  <c r="E178" i="111" s="1"/>
  <c r="D178" i="111" a="1"/>
  <c r="D178" i="111" s="1"/>
  <c r="M177" i="111" a="1"/>
  <c r="M177" i="111" s="1"/>
  <c r="L177" i="111" a="1"/>
  <c r="L177" i="111" s="1"/>
  <c r="K177" i="111" a="1"/>
  <c r="K177" i="111" s="1"/>
  <c r="F177" i="111" a="1"/>
  <c r="F177" i="111" s="1"/>
  <c r="E177" i="111" a="1"/>
  <c r="E177" i="111" s="1"/>
  <c r="D177" i="111" a="1"/>
  <c r="D177" i="111" s="1"/>
  <c r="M176" i="111" a="1"/>
  <c r="M176" i="111" s="1"/>
  <c r="L176" i="111" a="1"/>
  <c r="L176" i="111" s="1"/>
  <c r="K176" i="111" a="1"/>
  <c r="K176" i="111" s="1"/>
  <c r="F176" i="111" a="1"/>
  <c r="F176" i="111" s="1"/>
  <c r="E176" i="111" a="1"/>
  <c r="E176" i="111" s="1"/>
  <c r="D176" i="111" a="1"/>
  <c r="D176" i="111" s="1"/>
  <c r="M175" i="111" a="1"/>
  <c r="M175" i="111" s="1"/>
  <c r="L175" i="111" a="1"/>
  <c r="L175" i="111" s="1"/>
  <c r="K175" i="111" a="1"/>
  <c r="K175" i="111" s="1"/>
  <c r="F175" i="111" a="1"/>
  <c r="F175" i="111" s="1"/>
  <c r="E175" i="111" a="1"/>
  <c r="E175" i="111" s="1"/>
  <c r="D175" i="111" a="1"/>
  <c r="D175" i="111" s="1"/>
  <c r="M174" i="111" a="1"/>
  <c r="M174" i="111" s="1"/>
  <c r="L174" i="111" a="1"/>
  <c r="L174" i="111" s="1"/>
  <c r="K174" i="111" a="1"/>
  <c r="K174" i="111" s="1"/>
  <c r="F174" i="111" a="1"/>
  <c r="F174" i="111" s="1"/>
  <c r="E174" i="111" a="1"/>
  <c r="E174" i="111" s="1"/>
  <c r="D174" i="111" a="1"/>
  <c r="D174" i="111" s="1"/>
  <c r="I170" i="111" a="1"/>
  <c r="I170" i="111" s="1"/>
  <c r="H170" i="111" a="1"/>
  <c r="H170" i="111" s="1"/>
  <c r="G170" i="111" a="1"/>
  <c r="G170" i="111" s="1"/>
  <c r="F170" i="111" a="1"/>
  <c r="F170" i="111" s="1"/>
  <c r="E170" i="111" a="1"/>
  <c r="E170" i="111" s="1"/>
  <c r="D170" i="111" a="1"/>
  <c r="D170" i="111" s="1"/>
  <c r="I169" i="111" a="1"/>
  <c r="I169" i="111" s="1"/>
  <c r="H169" i="111" a="1"/>
  <c r="H169" i="111" s="1"/>
  <c r="G169" i="111" a="1"/>
  <c r="G169" i="111" s="1"/>
  <c r="F169" i="111" a="1"/>
  <c r="F169" i="111" s="1"/>
  <c r="E169" i="111" a="1"/>
  <c r="E169" i="111" s="1"/>
  <c r="D169" i="111" a="1"/>
  <c r="D169" i="111" s="1"/>
  <c r="I168" i="111" a="1"/>
  <c r="I168" i="111" s="1"/>
  <c r="H168" i="111" a="1"/>
  <c r="H168" i="111" s="1"/>
  <c r="G168" i="111" a="1"/>
  <c r="G168" i="111" s="1"/>
  <c r="F168" i="111" a="1"/>
  <c r="F168" i="111" s="1"/>
  <c r="E168" i="111" a="1"/>
  <c r="E168" i="111" s="1"/>
  <c r="D51" i="106" s="1" a="1"/>
  <c r="D168" i="111" a="1"/>
  <c r="D168" i="111" s="1"/>
  <c r="I165" i="111" a="1"/>
  <c r="I165" i="111" s="1"/>
  <c r="H165" i="111" a="1"/>
  <c r="H165" i="111" s="1"/>
  <c r="G165" i="111" a="1"/>
  <c r="G165" i="111" s="1"/>
  <c r="F165" i="111" a="1"/>
  <c r="F165" i="111" s="1"/>
  <c r="E165" i="111" a="1"/>
  <c r="E165" i="111" s="1"/>
  <c r="D165" i="111" a="1"/>
  <c r="D165" i="111" s="1"/>
  <c r="I164" i="111" a="1"/>
  <c r="I164" i="111" s="1"/>
  <c r="H164" i="111" a="1"/>
  <c r="H164" i="111" s="1"/>
  <c r="G164" i="111" a="1"/>
  <c r="G164" i="111" s="1"/>
  <c r="F164" i="111" a="1"/>
  <c r="F164" i="111" s="1"/>
  <c r="E164" i="111" a="1"/>
  <c r="E164" i="111" s="1"/>
  <c r="D164" i="111" a="1"/>
  <c r="D164" i="111" s="1"/>
  <c r="I163" i="111" a="1"/>
  <c r="I163" i="111" s="1"/>
  <c r="H163" i="111" a="1"/>
  <c r="H163" i="111" s="1"/>
  <c r="G163" i="111" a="1"/>
  <c r="G163" i="111" s="1"/>
  <c r="F163" i="111" a="1"/>
  <c r="F163" i="111" s="1"/>
  <c r="E163" i="111" a="1"/>
  <c r="E163" i="111" s="1"/>
  <c r="D163" i="111" a="1"/>
  <c r="D163" i="111" s="1"/>
  <c r="I162" i="111" a="1"/>
  <c r="I162" i="111" s="1"/>
  <c r="H162" i="111" a="1"/>
  <c r="H162" i="111" s="1"/>
  <c r="G162" i="111" a="1"/>
  <c r="G162" i="111" s="1"/>
  <c r="F162" i="111" a="1"/>
  <c r="F162" i="111" s="1"/>
  <c r="E162" i="111" a="1"/>
  <c r="E162" i="111" s="1"/>
  <c r="D56" i="106" s="1" a="1"/>
  <c r="D162" i="111" a="1"/>
  <c r="D162" i="111" s="1"/>
  <c r="I159" i="111" a="1"/>
  <c r="I159" i="111" s="1"/>
  <c r="H159" i="111" a="1"/>
  <c r="H159" i="111" s="1"/>
  <c r="G159" i="111" a="1"/>
  <c r="G159" i="111" s="1"/>
  <c r="F159" i="111" a="1"/>
  <c r="F159" i="111" s="1"/>
  <c r="O159" i="111" s="1"/>
  <c r="E159" i="111" a="1"/>
  <c r="E159" i="111" s="1"/>
  <c r="N159" i="111" s="1"/>
  <c r="P158" i="111" s="1"/>
  <c r="D159" i="111" a="1"/>
  <c r="D159" i="111" s="1"/>
  <c r="I158" i="111" a="1"/>
  <c r="I158" i="111" s="1"/>
  <c r="H158" i="111" a="1"/>
  <c r="H158" i="111" s="1"/>
  <c r="G158" i="111" a="1"/>
  <c r="G158" i="111" s="1"/>
  <c r="F158" i="111" a="1"/>
  <c r="F158" i="111" s="1"/>
  <c r="L158" i="111" s="1"/>
  <c r="E158" i="111" a="1"/>
  <c r="E158" i="111" s="1"/>
  <c r="K158" i="111" s="1"/>
  <c r="M157" i="111" s="1"/>
  <c r="D158" i="111" a="1"/>
  <c r="D158" i="111" s="1"/>
  <c r="I157" i="111" a="1"/>
  <c r="I157" i="111" s="1"/>
  <c r="H157" i="111" a="1"/>
  <c r="H157" i="111" s="1"/>
  <c r="G157" i="111" a="1"/>
  <c r="G157" i="111" s="1"/>
  <c r="F157" i="111" a="1"/>
  <c r="F157" i="111" s="1"/>
  <c r="O157" i="111" s="1"/>
  <c r="E157" i="111" a="1"/>
  <c r="E157" i="111" s="1"/>
  <c r="N157" i="111" s="1"/>
  <c r="P156" i="111" s="1"/>
  <c r="D157" i="111" a="1"/>
  <c r="D157" i="111" s="1"/>
  <c r="I156" i="111" a="1"/>
  <c r="I156" i="111" s="1"/>
  <c r="H156" i="111" a="1"/>
  <c r="H156" i="111" s="1"/>
  <c r="G156" i="111" a="1"/>
  <c r="G156" i="111" s="1"/>
  <c r="F156" i="111" a="1"/>
  <c r="F156" i="111" s="1"/>
  <c r="L156" i="111" s="1"/>
  <c r="E156" i="111" a="1"/>
  <c r="E156" i="111" s="1"/>
  <c r="K156" i="111" s="1"/>
  <c r="M155" i="111" s="1"/>
  <c r="D156" i="111" a="1"/>
  <c r="D156" i="111" s="1"/>
  <c r="I155" i="111" a="1"/>
  <c r="I155" i="111" s="1"/>
  <c r="H155" i="111" a="1"/>
  <c r="H155" i="111" s="1"/>
  <c r="G155" i="111" a="1"/>
  <c r="G155" i="111" s="1"/>
  <c r="F155" i="111" a="1"/>
  <c r="F155" i="111" s="1"/>
  <c r="O155" i="111" s="1"/>
  <c r="E155" i="111" a="1"/>
  <c r="E155" i="111" s="1"/>
  <c r="N155" i="111" s="1"/>
  <c r="P154" i="111" s="1"/>
  <c r="D155" i="111" a="1"/>
  <c r="D155" i="111" s="1"/>
  <c r="I154" i="111" a="1"/>
  <c r="I154" i="111" s="1"/>
  <c r="H154" i="111" a="1"/>
  <c r="H154" i="111" s="1"/>
  <c r="G154" i="111" a="1"/>
  <c r="G154" i="111" s="1"/>
  <c r="F154" i="111" a="1"/>
  <c r="F154" i="111" s="1"/>
  <c r="L154" i="111" s="1"/>
  <c r="E154" i="111" a="1"/>
  <c r="E154" i="111" s="1"/>
  <c r="K154" i="111" s="1"/>
  <c r="M153" i="111" s="1"/>
  <c r="D154" i="111" a="1"/>
  <c r="D154" i="111" s="1"/>
  <c r="I153" i="111" a="1"/>
  <c r="I153" i="111" s="1"/>
  <c r="H153" i="111" a="1"/>
  <c r="H153" i="111" s="1"/>
  <c r="G153" i="111" a="1"/>
  <c r="G153" i="111" s="1"/>
  <c r="F153" i="111" a="1"/>
  <c r="F153" i="111" s="1"/>
  <c r="O153" i="111" s="1"/>
  <c r="E153" i="111" a="1"/>
  <c r="E153" i="111" s="1"/>
  <c r="N153" i="111" s="1"/>
  <c r="P152" i="111" s="1"/>
  <c r="D153" i="111" a="1"/>
  <c r="D153" i="111" s="1"/>
  <c r="I152" i="111" a="1"/>
  <c r="I152" i="111" s="1"/>
  <c r="H152" i="111" a="1"/>
  <c r="H152" i="111" s="1"/>
  <c r="G152" i="111" a="1"/>
  <c r="G152" i="111" s="1"/>
  <c r="F152" i="111" a="1"/>
  <c r="F152" i="111" s="1"/>
  <c r="L152" i="111" s="1"/>
  <c r="E152" i="111" a="1"/>
  <c r="E152" i="111" s="1"/>
  <c r="K152" i="111" s="1"/>
  <c r="M151" i="111" s="1"/>
  <c r="D152" i="111" a="1"/>
  <c r="D152" i="111" s="1"/>
  <c r="I151" i="111" a="1"/>
  <c r="I151" i="111" s="1"/>
  <c r="H151" i="111" a="1"/>
  <c r="H151" i="111" s="1"/>
  <c r="G151" i="111" a="1"/>
  <c r="G151" i="111" s="1"/>
  <c r="F151" i="111" a="1"/>
  <c r="F151" i="111" s="1"/>
  <c r="O151" i="111" s="1"/>
  <c r="E151" i="111" a="1"/>
  <c r="E151" i="111" s="1"/>
  <c r="N151" i="111" s="1"/>
  <c r="D151" i="111" a="1"/>
  <c r="D151" i="111" s="1"/>
  <c r="I150" i="111" a="1"/>
  <c r="I150" i="111" s="1"/>
  <c r="H150" i="111" a="1"/>
  <c r="H150" i="111" s="1"/>
  <c r="G150" i="111" a="1"/>
  <c r="G150" i="111" s="1"/>
  <c r="F150" i="111" a="1"/>
  <c r="F150" i="111" s="1"/>
  <c r="O150" i="111" s="1"/>
  <c r="E150" i="111" a="1"/>
  <c r="E150" i="111" s="1"/>
  <c r="N150" i="111" s="1"/>
  <c r="D150" i="111" a="1"/>
  <c r="D150" i="111" s="1"/>
  <c r="I149" i="111" a="1"/>
  <c r="I149" i="111" s="1"/>
  <c r="H149" i="111" a="1"/>
  <c r="H149" i="111" s="1"/>
  <c r="G149" i="111" a="1"/>
  <c r="G149" i="111" s="1"/>
  <c r="F149" i="111" a="1"/>
  <c r="F149" i="111" s="1"/>
  <c r="O149" i="111" s="1"/>
  <c r="E149" i="111" a="1"/>
  <c r="E149" i="111" s="1"/>
  <c r="N149" i="111" s="1"/>
  <c r="D149" i="111" a="1"/>
  <c r="D149" i="111" s="1"/>
  <c r="I148" i="111" a="1"/>
  <c r="I148" i="111" s="1"/>
  <c r="H148" i="111" a="1"/>
  <c r="H148" i="111" s="1"/>
  <c r="G148" i="111" a="1"/>
  <c r="G148" i="111" s="1"/>
  <c r="F148" i="111" a="1"/>
  <c r="F148" i="111" s="1"/>
  <c r="O148" i="111" s="1"/>
  <c r="E148" i="111" a="1"/>
  <c r="E148" i="111" s="1"/>
  <c r="N148" i="111" s="1"/>
  <c r="D148" i="111" a="1"/>
  <c r="D148" i="111" s="1"/>
  <c r="I147" i="111" a="1"/>
  <c r="I147" i="111" s="1"/>
  <c r="H147" i="111" a="1"/>
  <c r="H147" i="111" s="1"/>
  <c r="G147" i="111" a="1"/>
  <c r="G147" i="111" s="1"/>
  <c r="F147" i="111" a="1"/>
  <c r="F147" i="111" s="1"/>
  <c r="O147" i="111" s="1"/>
  <c r="E147" i="111" a="1"/>
  <c r="E147" i="111" s="1"/>
  <c r="N147" i="111" s="1"/>
  <c r="D147" i="111" a="1"/>
  <c r="D147" i="111" s="1"/>
  <c r="I146" i="111" a="1"/>
  <c r="I146" i="111" s="1"/>
  <c r="H146" i="111" a="1"/>
  <c r="H146" i="111" s="1"/>
  <c r="G146" i="111" a="1"/>
  <c r="G146" i="111" s="1"/>
  <c r="F146" i="111" a="1"/>
  <c r="F146" i="111" s="1"/>
  <c r="O146" i="111" s="1"/>
  <c r="E146" i="111" a="1"/>
  <c r="E146" i="111" s="1"/>
  <c r="N146" i="111" s="1"/>
  <c r="D146" i="111" a="1"/>
  <c r="D146" i="111" s="1"/>
  <c r="I145" i="111" a="1"/>
  <c r="I145" i="111" s="1"/>
  <c r="H145" i="111" a="1"/>
  <c r="H145" i="111" s="1"/>
  <c r="G145" i="111" a="1"/>
  <c r="G145" i="111" s="1"/>
  <c r="F145" i="111" a="1"/>
  <c r="F145" i="111" s="1"/>
  <c r="O145" i="111" s="1"/>
  <c r="E145" i="111" a="1"/>
  <c r="E145" i="111" s="1"/>
  <c r="N145" i="111" s="1"/>
  <c r="P144" i="111" s="1"/>
  <c r="D145" i="111" a="1"/>
  <c r="D145" i="111" s="1"/>
  <c r="I144" i="111" a="1"/>
  <c r="I144" i="111" s="1"/>
  <c r="H144" i="111" a="1"/>
  <c r="H144" i="111" s="1"/>
  <c r="G144" i="111" a="1"/>
  <c r="G144" i="111" s="1"/>
  <c r="F144" i="111" a="1"/>
  <c r="F144" i="111" s="1"/>
  <c r="L144" i="111" s="1"/>
  <c r="E144" i="111" a="1"/>
  <c r="E144" i="111" s="1"/>
  <c r="K144" i="111" s="1"/>
  <c r="D144" i="111" a="1"/>
  <c r="D144" i="111" s="1"/>
  <c r="I143" i="111" a="1"/>
  <c r="I143" i="111" s="1"/>
  <c r="H143" i="111" a="1"/>
  <c r="H143" i="111" s="1"/>
  <c r="G143" i="111" a="1"/>
  <c r="G143" i="111" s="1"/>
  <c r="F143" i="111" a="1"/>
  <c r="F143" i="111" s="1"/>
  <c r="L143" i="111" s="1"/>
  <c r="E143" i="111" a="1"/>
  <c r="E143" i="111" s="1"/>
  <c r="K143" i="111" s="1"/>
  <c r="D143" i="111" a="1"/>
  <c r="D143" i="111" s="1"/>
  <c r="I142" i="111" a="1"/>
  <c r="I142" i="111" s="1"/>
  <c r="H142" i="111" a="1"/>
  <c r="H142" i="111" s="1"/>
  <c r="G142" i="111" a="1"/>
  <c r="G142" i="111" s="1"/>
  <c r="F142" i="111" a="1"/>
  <c r="F142" i="111" s="1"/>
  <c r="L142" i="111" s="1"/>
  <c r="E142" i="111" a="1"/>
  <c r="E142" i="111" s="1"/>
  <c r="K142" i="111" s="1"/>
  <c r="D142" i="111" a="1"/>
  <c r="D142" i="111" s="1"/>
  <c r="I141" i="111" a="1"/>
  <c r="I141" i="111" s="1"/>
  <c r="H141" i="111" a="1"/>
  <c r="H141" i="111" s="1"/>
  <c r="G141" i="111" a="1"/>
  <c r="G141" i="111" s="1"/>
  <c r="F141" i="111" a="1"/>
  <c r="F141" i="111" s="1"/>
  <c r="L141" i="111" s="1"/>
  <c r="E141" i="111" a="1"/>
  <c r="E141" i="111" s="1"/>
  <c r="K141" i="111" s="1"/>
  <c r="D141" i="111" a="1"/>
  <c r="D141" i="111" s="1"/>
  <c r="I140" i="111" a="1"/>
  <c r="I140" i="111" s="1"/>
  <c r="H140" i="111" a="1"/>
  <c r="H140" i="111" s="1"/>
  <c r="G140" i="111" a="1"/>
  <c r="G140" i="111" s="1"/>
  <c r="F140" i="111" a="1"/>
  <c r="F140" i="111" s="1"/>
  <c r="L140" i="111" s="1"/>
  <c r="E140" i="111" a="1"/>
  <c r="E140" i="111" s="1"/>
  <c r="K140" i="111" s="1"/>
  <c r="D140" i="111" a="1"/>
  <c r="D140" i="111" s="1"/>
  <c r="I139" i="111" a="1"/>
  <c r="I139" i="111" s="1"/>
  <c r="H139" i="111" a="1"/>
  <c r="H139" i="111" s="1"/>
  <c r="G139" i="111" a="1"/>
  <c r="G139" i="111" s="1"/>
  <c r="F139" i="111" a="1"/>
  <c r="F139" i="111" s="1"/>
  <c r="L139" i="111" s="1"/>
  <c r="E139" i="111" a="1"/>
  <c r="E139" i="111" s="1"/>
  <c r="K139" i="111" s="1"/>
  <c r="M138" i="111" s="1"/>
  <c r="D139" i="111" a="1"/>
  <c r="D139" i="111" s="1"/>
  <c r="I138" i="111" a="1"/>
  <c r="I138" i="111" s="1"/>
  <c r="H138" i="111" a="1"/>
  <c r="H138" i="111" s="1"/>
  <c r="G138" i="111" a="1"/>
  <c r="G138" i="111" s="1"/>
  <c r="F138" i="111" a="1"/>
  <c r="F138" i="111" s="1"/>
  <c r="O138" i="111" s="1"/>
  <c r="E138" i="111" a="1"/>
  <c r="E138" i="111" s="1"/>
  <c r="N138" i="111" s="1"/>
  <c r="D138" i="111" a="1"/>
  <c r="D138" i="111" s="1"/>
  <c r="I137" i="111" a="1"/>
  <c r="I137" i="111" s="1"/>
  <c r="H137" i="111" a="1"/>
  <c r="H137" i="111" s="1"/>
  <c r="G137" i="111" a="1"/>
  <c r="G137" i="111" s="1"/>
  <c r="F137" i="111" a="1"/>
  <c r="F137" i="111" s="1"/>
  <c r="O137" i="111" s="1"/>
  <c r="E137" i="111" a="1"/>
  <c r="E137" i="111" s="1"/>
  <c r="N137" i="111" s="1"/>
  <c r="D137" i="111" a="1"/>
  <c r="D137" i="111" s="1"/>
  <c r="I136" i="111" a="1"/>
  <c r="I136" i="111" s="1"/>
  <c r="H136" i="111" a="1"/>
  <c r="H136" i="111" s="1"/>
  <c r="G136" i="111" a="1"/>
  <c r="G136" i="111" s="1"/>
  <c r="F136" i="111" a="1"/>
  <c r="F136" i="111" s="1"/>
  <c r="O136" i="111" s="1"/>
  <c r="E136" i="111" a="1"/>
  <c r="E136" i="111" s="1"/>
  <c r="N136" i="111" s="1"/>
  <c r="D136" i="111" a="1"/>
  <c r="D136" i="111" s="1"/>
  <c r="I135" i="111" a="1"/>
  <c r="I135" i="111" s="1"/>
  <c r="H135" i="111" a="1"/>
  <c r="H135" i="111" s="1"/>
  <c r="G135" i="111" a="1"/>
  <c r="G135" i="111" s="1"/>
  <c r="F135" i="111" a="1"/>
  <c r="F135" i="111" s="1"/>
  <c r="O135" i="111" s="1"/>
  <c r="E135" i="111" a="1"/>
  <c r="E135" i="111" s="1"/>
  <c r="N135" i="111" s="1"/>
  <c r="D135" i="111" a="1"/>
  <c r="D135" i="111" s="1"/>
  <c r="I134" i="111" a="1"/>
  <c r="I134" i="111" s="1"/>
  <c r="H134" i="111" a="1"/>
  <c r="H134" i="111" s="1"/>
  <c r="G134" i="111" a="1"/>
  <c r="G134" i="111" s="1"/>
  <c r="F134" i="111" a="1"/>
  <c r="F134" i="111" s="1"/>
  <c r="O134" i="111" s="1"/>
  <c r="E134" i="111" a="1"/>
  <c r="E134" i="111" s="1"/>
  <c r="N134" i="111" s="1"/>
  <c r="D134" i="111" a="1"/>
  <c r="D134" i="111" s="1"/>
  <c r="I133" i="111" a="1"/>
  <c r="I133" i="111" s="1"/>
  <c r="H133" i="111" a="1"/>
  <c r="H133" i="111" s="1"/>
  <c r="G133" i="111" a="1"/>
  <c r="G133" i="111" s="1"/>
  <c r="F133" i="111" a="1"/>
  <c r="F133" i="111" s="1"/>
  <c r="O133" i="111" s="1"/>
  <c r="E133" i="111" a="1"/>
  <c r="E133" i="111" s="1"/>
  <c r="N133" i="111" s="1"/>
  <c r="D133" i="111" a="1"/>
  <c r="D133" i="111" s="1"/>
  <c r="I132" i="111" a="1"/>
  <c r="I132" i="111" s="1"/>
  <c r="H132" i="111" a="1"/>
  <c r="H132" i="111" s="1"/>
  <c r="G132" i="111" a="1"/>
  <c r="G132" i="111" s="1"/>
  <c r="F132" i="111" a="1"/>
  <c r="F132" i="111" s="1"/>
  <c r="O132" i="111" s="1"/>
  <c r="E132" i="111" a="1"/>
  <c r="E132" i="111" s="1"/>
  <c r="N132" i="111" s="1"/>
  <c r="P131" i="111" s="1"/>
  <c r="D132" i="111" a="1"/>
  <c r="D132" i="111" s="1"/>
  <c r="I131" i="111" a="1"/>
  <c r="I131" i="111" s="1"/>
  <c r="H131" i="111" a="1"/>
  <c r="H131" i="111" s="1"/>
  <c r="G131" i="111" a="1"/>
  <c r="G131" i="111" s="1"/>
  <c r="F131" i="111" a="1"/>
  <c r="F131" i="111" s="1"/>
  <c r="L131" i="111" s="1"/>
  <c r="E131" i="111" a="1"/>
  <c r="E131" i="111" s="1"/>
  <c r="K131" i="111" s="1"/>
  <c r="D131" i="111" a="1"/>
  <c r="D131" i="111" s="1"/>
  <c r="I130" i="111" a="1"/>
  <c r="I130" i="111" s="1"/>
  <c r="H130" i="111" a="1"/>
  <c r="H130" i="111" s="1"/>
  <c r="G130" i="111" a="1"/>
  <c r="G130" i="111" s="1"/>
  <c r="F130" i="111" a="1"/>
  <c r="F130" i="111" s="1"/>
  <c r="L130" i="111" s="1"/>
  <c r="E130" i="111" a="1"/>
  <c r="E130" i="111" s="1"/>
  <c r="K130" i="111" s="1"/>
  <c r="D130" i="111" a="1"/>
  <c r="D130" i="111" s="1"/>
  <c r="I129" i="111" a="1"/>
  <c r="I129" i="111" s="1"/>
  <c r="H129" i="111" a="1"/>
  <c r="H129" i="111" s="1"/>
  <c r="G129" i="111" a="1"/>
  <c r="G129" i="111" s="1"/>
  <c r="F129" i="111" a="1"/>
  <c r="F129" i="111" s="1"/>
  <c r="L129" i="111" s="1"/>
  <c r="E129" i="111" a="1"/>
  <c r="E129" i="111" s="1"/>
  <c r="K129" i="111" s="1"/>
  <c r="D129" i="111" a="1"/>
  <c r="D129" i="111" s="1"/>
  <c r="I128" i="111" a="1"/>
  <c r="I128" i="111" s="1"/>
  <c r="H128" i="111" a="1"/>
  <c r="H128" i="111" s="1"/>
  <c r="G128" i="111" a="1"/>
  <c r="G128" i="111" s="1"/>
  <c r="F128" i="111" a="1"/>
  <c r="F128" i="111" s="1"/>
  <c r="L128" i="111" s="1"/>
  <c r="E128" i="111" a="1"/>
  <c r="E128" i="111" s="1"/>
  <c r="K128" i="111" s="1"/>
  <c r="D128" i="111" a="1"/>
  <c r="D128" i="111" s="1"/>
  <c r="I127" i="111" a="1"/>
  <c r="I127" i="111" s="1"/>
  <c r="H127" i="111" a="1"/>
  <c r="H127" i="111" s="1"/>
  <c r="G127" i="111" a="1"/>
  <c r="G127" i="111" s="1"/>
  <c r="F127" i="111" a="1"/>
  <c r="F127" i="111" s="1"/>
  <c r="L127" i="111" s="1"/>
  <c r="E127" i="111" a="1"/>
  <c r="E127" i="111" s="1"/>
  <c r="K127" i="111" s="1"/>
  <c r="D127" i="111" a="1"/>
  <c r="D127" i="111" s="1"/>
  <c r="I126" i="111" a="1"/>
  <c r="I126" i="111" s="1"/>
  <c r="H126" i="111" a="1"/>
  <c r="H126" i="111" s="1"/>
  <c r="G126" i="111" a="1"/>
  <c r="G126" i="111" s="1"/>
  <c r="F126" i="111" a="1"/>
  <c r="F126" i="111" s="1"/>
  <c r="L126" i="111" s="1"/>
  <c r="E126" i="111" a="1"/>
  <c r="E126" i="111" s="1"/>
  <c r="K126" i="111" s="1"/>
  <c r="M125" i="111" s="1"/>
  <c r="D126" i="111" a="1"/>
  <c r="D126" i="111" s="1"/>
  <c r="I125" i="111" a="1"/>
  <c r="I125" i="111" s="1"/>
  <c r="H125" i="111" a="1"/>
  <c r="H125" i="111" s="1"/>
  <c r="G125" i="111" a="1"/>
  <c r="G125" i="111" s="1"/>
  <c r="F125" i="111" a="1"/>
  <c r="F125" i="111" s="1"/>
  <c r="O125" i="111" s="1"/>
  <c r="E125" i="111" a="1"/>
  <c r="E125" i="111" s="1"/>
  <c r="N125" i="111" s="1"/>
  <c r="D125" i="111" a="1"/>
  <c r="D125" i="111" s="1"/>
  <c r="I124" i="111" a="1"/>
  <c r="I124" i="111" s="1"/>
  <c r="H124" i="111" a="1"/>
  <c r="H124" i="111" s="1"/>
  <c r="G124" i="111" a="1"/>
  <c r="G124" i="111" s="1"/>
  <c r="F124" i="111" a="1"/>
  <c r="F124" i="111" s="1"/>
  <c r="O124" i="111" s="1"/>
  <c r="E124" i="111" a="1"/>
  <c r="E124" i="111" s="1"/>
  <c r="N124" i="111" s="1"/>
  <c r="D124" i="111" a="1"/>
  <c r="D124" i="111" s="1"/>
  <c r="I123" i="111" a="1"/>
  <c r="I123" i="111" s="1"/>
  <c r="H123" i="111" a="1"/>
  <c r="H123" i="111" s="1"/>
  <c r="G123" i="111" a="1"/>
  <c r="G123" i="111" s="1"/>
  <c r="F123" i="111" a="1"/>
  <c r="F123" i="111" s="1"/>
  <c r="O123" i="111" s="1"/>
  <c r="E123" i="111" a="1"/>
  <c r="E123" i="111" s="1"/>
  <c r="N123" i="111" s="1"/>
  <c r="D123" i="111" a="1"/>
  <c r="D123" i="111" s="1"/>
  <c r="I122" i="111" a="1"/>
  <c r="I122" i="111" s="1"/>
  <c r="H122" i="111" a="1"/>
  <c r="H122" i="111" s="1"/>
  <c r="G122" i="111" a="1"/>
  <c r="G122" i="111" s="1"/>
  <c r="F122" i="111" a="1"/>
  <c r="F122" i="111" s="1"/>
  <c r="O122" i="111" s="1"/>
  <c r="E122" i="111" a="1"/>
  <c r="E122" i="111" s="1"/>
  <c r="N122" i="111" s="1"/>
  <c r="D122" i="111" a="1"/>
  <c r="D122" i="111" s="1"/>
  <c r="I121" i="111" a="1"/>
  <c r="I121" i="111" s="1"/>
  <c r="H121" i="111" a="1"/>
  <c r="H121" i="111" s="1"/>
  <c r="G121" i="111" a="1"/>
  <c r="G121" i="111" s="1"/>
  <c r="F121" i="111" a="1"/>
  <c r="F121" i="111" s="1"/>
  <c r="O121" i="111" s="1"/>
  <c r="E121" i="111" a="1"/>
  <c r="E121" i="111" s="1"/>
  <c r="N121" i="111" s="1"/>
  <c r="D121" i="111" a="1"/>
  <c r="D121" i="111" s="1"/>
  <c r="I120" i="111" a="1"/>
  <c r="I120" i="111" s="1"/>
  <c r="H120" i="111" a="1"/>
  <c r="H120" i="111" s="1"/>
  <c r="G120" i="111" a="1"/>
  <c r="G120" i="111" s="1"/>
  <c r="F120" i="111" a="1"/>
  <c r="F120" i="111" s="1"/>
  <c r="O120" i="111" s="1"/>
  <c r="E120" i="111" a="1"/>
  <c r="E120" i="111" s="1"/>
  <c r="N120" i="111" s="1"/>
  <c r="D120" i="111" a="1"/>
  <c r="D120" i="111" s="1"/>
  <c r="I119" i="111" a="1"/>
  <c r="I119" i="111" s="1"/>
  <c r="H119" i="111" a="1"/>
  <c r="H119" i="111" s="1"/>
  <c r="G119" i="111" a="1"/>
  <c r="G119" i="111" s="1"/>
  <c r="F119" i="111" a="1"/>
  <c r="F119" i="111" s="1"/>
  <c r="O119" i="111" s="1"/>
  <c r="E119" i="111" a="1"/>
  <c r="E119" i="111" s="1"/>
  <c r="N119" i="111" s="1"/>
  <c r="P118" i="111" s="1"/>
  <c r="D119" i="111" a="1"/>
  <c r="D119" i="111" s="1"/>
  <c r="I118" i="111" a="1"/>
  <c r="I118" i="111" s="1"/>
  <c r="H118" i="111" a="1"/>
  <c r="H118" i="111" s="1"/>
  <c r="G118" i="111" a="1"/>
  <c r="G118" i="111" s="1"/>
  <c r="F118" i="111" a="1"/>
  <c r="F118" i="111" s="1"/>
  <c r="L118" i="111" s="1"/>
  <c r="E118" i="111" a="1"/>
  <c r="E118" i="111" s="1"/>
  <c r="K118" i="111" s="1"/>
  <c r="D118" i="111" a="1"/>
  <c r="D118" i="111" s="1"/>
  <c r="I117" i="111" a="1"/>
  <c r="I117" i="111" s="1"/>
  <c r="H117" i="111" a="1"/>
  <c r="H117" i="111" s="1"/>
  <c r="G117" i="111" a="1"/>
  <c r="G117" i="111" s="1"/>
  <c r="F117" i="111" a="1"/>
  <c r="F117" i="111" s="1"/>
  <c r="L117" i="111" s="1"/>
  <c r="E117" i="111" a="1"/>
  <c r="E117" i="111" s="1"/>
  <c r="K117" i="111" s="1"/>
  <c r="D117" i="111" a="1"/>
  <c r="D117" i="111" s="1"/>
  <c r="I116" i="111" a="1"/>
  <c r="I116" i="111" s="1"/>
  <c r="H116" i="111" a="1"/>
  <c r="H116" i="111" s="1"/>
  <c r="G116" i="111" a="1"/>
  <c r="G116" i="111" s="1"/>
  <c r="F116" i="111" a="1"/>
  <c r="F116" i="111" s="1"/>
  <c r="L116" i="111" s="1"/>
  <c r="E116" i="111" a="1"/>
  <c r="E116" i="111" s="1"/>
  <c r="K116" i="111" s="1"/>
  <c r="D116" i="111" a="1"/>
  <c r="D116" i="111" s="1"/>
  <c r="I115" i="111" a="1"/>
  <c r="I115" i="111" s="1"/>
  <c r="H115" i="111" a="1"/>
  <c r="H115" i="111" s="1"/>
  <c r="G115" i="111" a="1"/>
  <c r="G115" i="111" s="1"/>
  <c r="F115" i="111" a="1"/>
  <c r="F115" i="111" s="1"/>
  <c r="L115" i="111" s="1"/>
  <c r="E115" i="111" a="1"/>
  <c r="E115" i="111" s="1"/>
  <c r="K115" i="111" s="1"/>
  <c r="D115" i="111" a="1"/>
  <c r="D115" i="111" s="1"/>
  <c r="I114" i="111" a="1"/>
  <c r="I114" i="111" s="1"/>
  <c r="H114" i="111" a="1"/>
  <c r="H114" i="111" s="1"/>
  <c r="G114" i="111" a="1"/>
  <c r="G114" i="111" s="1"/>
  <c r="F114" i="111" a="1"/>
  <c r="F114" i="111" s="1"/>
  <c r="L114" i="111" s="1"/>
  <c r="E114" i="111" a="1"/>
  <c r="E114" i="111" s="1"/>
  <c r="K114" i="111" s="1"/>
  <c r="D114" i="111" a="1"/>
  <c r="D114" i="111" s="1"/>
  <c r="I113" i="111" a="1"/>
  <c r="I113" i="111" s="1"/>
  <c r="H113" i="111" a="1"/>
  <c r="H113" i="111" s="1"/>
  <c r="G113" i="111" a="1"/>
  <c r="G113" i="111" s="1"/>
  <c r="F113" i="111" a="1"/>
  <c r="F113" i="111" s="1"/>
  <c r="L113" i="111" s="1"/>
  <c r="E113" i="111" a="1"/>
  <c r="E113" i="111" s="1"/>
  <c r="K113" i="111" s="1"/>
  <c r="D113" i="111" a="1"/>
  <c r="D113" i="111" s="1"/>
  <c r="I112" i="111" a="1"/>
  <c r="I112" i="111" s="1"/>
  <c r="H112" i="111" a="1"/>
  <c r="H112" i="111" s="1"/>
  <c r="G112" i="111" a="1"/>
  <c r="G112" i="111" s="1"/>
  <c r="F112" i="111" a="1"/>
  <c r="F112" i="111" s="1"/>
  <c r="L112" i="111" s="1"/>
  <c r="E112" i="111" a="1"/>
  <c r="E112" i="111" s="1"/>
  <c r="K112" i="111" s="1"/>
  <c r="D112" i="111" a="1"/>
  <c r="D112" i="111" s="1"/>
  <c r="I111" i="111" a="1"/>
  <c r="I111" i="111" s="1"/>
  <c r="H111" i="111" a="1"/>
  <c r="H111" i="111" s="1"/>
  <c r="G111" i="111" a="1"/>
  <c r="G111" i="111" s="1"/>
  <c r="F111" i="111" a="1"/>
  <c r="F111" i="111" s="1"/>
  <c r="L111" i="111" s="1"/>
  <c r="E111" i="111" a="1"/>
  <c r="E111" i="111" s="1"/>
  <c r="K111" i="111" s="1"/>
  <c r="M110" i="111" s="1"/>
  <c r="D111" i="111" a="1"/>
  <c r="D111" i="111" s="1"/>
  <c r="I110" i="111" a="1"/>
  <c r="I110" i="111" s="1"/>
  <c r="H110" i="111" a="1"/>
  <c r="H110" i="111" s="1"/>
  <c r="G110" i="111" a="1"/>
  <c r="G110" i="111" s="1"/>
  <c r="F110" i="111" a="1"/>
  <c r="F110" i="111" s="1"/>
  <c r="O110" i="111" s="1"/>
  <c r="E110" i="111" a="1"/>
  <c r="E110" i="111" s="1"/>
  <c r="N110" i="111" s="1"/>
  <c r="D110" i="111" a="1"/>
  <c r="D110" i="111" s="1"/>
  <c r="I109" i="111" a="1"/>
  <c r="I109" i="111" s="1"/>
  <c r="H109" i="111" a="1"/>
  <c r="H109" i="111" s="1"/>
  <c r="G109" i="111" a="1"/>
  <c r="G109" i="111" s="1"/>
  <c r="F109" i="111" a="1"/>
  <c r="F109" i="111" s="1"/>
  <c r="O109" i="111" s="1"/>
  <c r="E109" i="111" a="1"/>
  <c r="E109" i="111" s="1"/>
  <c r="N109" i="111" s="1"/>
  <c r="D109" i="111" a="1"/>
  <c r="D109" i="111" s="1"/>
  <c r="I108" i="111" a="1"/>
  <c r="I108" i="111" s="1"/>
  <c r="H108" i="111" a="1"/>
  <c r="H108" i="111" s="1"/>
  <c r="G108" i="111" a="1"/>
  <c r="G108" i="111" s="1"/>
  <c r="F108" i="111" a="1"/>
  <c r="F108" i="111" s="1"/>
  <c r="O108" i="111" s="1"/>
  <c r="E108" i="111" a="1"/>
  <c r="E108" i="111" s="1"/>
  <c r="N108" i="111" s="1"/>
  <c r="D108" i="111" a="1"/>
  <c r="D108" i="111" s="1"/>
  <c r="I107" i="111" a="1"/>
  <c r="I107" i="111" s="1"/>
  <c r="H107" i="111" a="1"/>
  <c r="H107" i="111" s="1"/>
  <c r="G107" i="111" a="1"/>
  <c r="G107" i="111" s="1"/>
  <c r="F107" i="111" a="1"/>
  <c r="F107" i="111" s="1"/>
  <c r="O107" i="111" s="1"/>
  <c r="E107" i="111" a="1"/>
  <c r="E107" i="111" s="1"/>
  <c r="N107" i="111" s="1"/>
  <c r="D107" i="111" a="1"/>
  <c r="D107" i="111" s="1"/>
  <c r="I106" i="111" a="1"/>
  <c r="I106" i="111" s="1"/>
  <c r="H106" i="111" a="1"/>
  <c r="H106" i="111" s="1"/>
  <c r="G106" i="111" a="1"/>
  <c r="G106" i="111" s="1"/>
  <c r="F106" i="111" a="1"/>
  <c r="F106" i="111" s="1"/>
  <c r="O106" i="111" s="1"/>
  <c r="E106" i="111" a="1"/>
  <c r="E106" i="111" s="1"/>
  <c r="N106" i="111" s="1"/>
  <c r="P105" i="111" s="1"/>
  <c r="D106" i="111" a="1"/>
  <c r="D106" i="111" s="1"/>
  <c r="I105" i="111" a="1"/>
  <c r="I105" i="111" s="1"/>
  <c r="H105" i="111" a="1"/>
  <c r="H105" i="111" s="1"/>
  <c r="G105" i="111" a="1"/>
  <c r="G105" i="111" s="1"/>
  <c r="F105" i="111" a="1"/>
  <c r="F105" i="111" s="1"/>
  <c r="L105" i="111" s="1"/>
  <c r="E105" i="111" a="1"/>
  <c r="E105" i="111" s="1"/>
  <c r="K105" i="111" s="1"/>
  <c r="D105" i="111" a="1"/>
  <c r="D105" i="111" s="1"/>
  <c r="I104" i="111" a="1"/>
  <c r="I104" i="111" s="1"/>
  <c r="H104" i="111" a="1"/>
  <c r="H104" i="111" s="1"/>
  <c r="G104" i="111" a="1"/>
  <c r="G104" i="111" s="1"/>
  <c r="F104" i="111" a="1"/>
  <c r="F104" i="111" s="1"/>
  <c r="L104" i="111" s="1"/>
  <c r="E104" i="111" a="1"/>
  <c r="E104" i="111" s="1"/>
  <c r="K104" i="111" s="1"/>
  <c r="D104" i="111" a="1"/>
  <c r="D104" i="111" s="1"/>
  <c r="I103" i="111" a="1"/>
  <c r="I103" i="111" s="1"/>
  <c r="H103" i="111" a="1"/>
  <c r="H103" i="111" s="1"/>
  <c r="G103" i="111" a="1"/>
  <c r="G103" i="111" s="1"/>
  <c r="F103" i="111" a="1"/>
  <c r="F103" i="111" s="1"/>
  <c r="L103" i="111" s="1"/>
  <c r="E103" i="111" a="1"/>
  <c r="E103" i="111" s="1"/>
  <c r="K103" i="111" s="1"/>
  <c r="D103" i="111" a="1"/>
  <c r="D103" i="111" s="1"/>
  <c r="I102" i="111" a="1"/>
  <c r="I102" i="111" s="1"/>
  <c r="H102" i="111" a="1"/>
  <c r="H102" i="111" s="1"/>
  <c r="G102" i="111" a="1"/>
  <c r="G102" i="111" s="1"/>
  <c r="F102" i="111" a="1"/>
  <c r="F102" i="111" s="1"/>
  <c r="L102" i="111" s="1"/>
  <c r="E102" i="111" a="1"/>
  <c r="E102" i="111" s="1"/>
  <c r="K102" i="111" s="1"/>
  <c r="D102" i="111" a="1"/>
  <c r="D102" i="111" s="1"/>
  <c r="I101" i="111" a="1"/>
  <c r="I101" i="111" s="1"/>
  <c r="H101" i="111" a="1"/>
  <c r="H101" i="111" s="1"/>
  <c r="G101" i="111" a="1"/>
  <c r="G101" i="111" s="1"/>
  <c r="F101" i="111" a="1"/>
  <c r="F101" i="111" s="1"/>
  <c r="L101" i="111" s="1"/>
  <c r="E101" i="111" a="1"/>
  <c r="E101" i="111" s="1"/>
  <c r="K101" i="111" s="1"/>
  <c r="D101" i="111" a="1"/>
  <c r="D101" i="111" s="1"/>
  <c r="I100" i="111" a="1"/>
  <c r="I100" i="111" s="1"/>
  <c r="H100" i="111" a="1"/>
  <c r="H100" i="111" s="1"/>
  <c r="G100" i="111" a="1"/>
  <c r="G100" i="111" s="1"/>
  <c r="F100" i="111" a="1"/>
  <c r="F100" i="111" s="1"/>
  <c r="L100" i="111" s="1"/>
  <c r="E100" i="111" a="1"/>
  <c r="E100" i="111" s="1"/>
  <c r="K100" i="111" s="1"/>
  <c r="D100" i="111" a="1"/>
  <c r="D100" i="111" s="1"/>
  <c r="I99" i="111" a="1"/>
  <c r="I99" i="111" s="1"/>
  <c r="H99" i="111" a="1"/>
  <c r="H99" i="111" s="1"/>
  <c r="G99" i="111" a="1"/>
  <c r="G99" i="111" s="1"/>
  <c r="F99" i="111" a="1"/>
  <c r="F99" i="111" s="1"/>
  <c r="L99" i="111" s="1"/>
  <c r="E99" i="111" a="1"/>
  <c r="E99" i="111" s="1"/>
  <c r="K99" i="111" s="1"/>
  <c r="M98" i="111" s="1"/>
  <c r="D99" i="111" a="1"/>
  <c r="D99" i="111" s="1"/>
  <c r="I98" i="111" a="1"/>
  <c r="I98" i="111" s="1"/>
  <c r="H98" i="111" a="1"/>
  <c r="H98" i="111" s="1"/>
  <c r="G98" i="111" a="1"/>
  <c r="G98" i="111" s="1"/>
  <c r="F98" i="111" a="1"/>
  <c r="F98" i="111" s="1"/>
  <c r="O98" i="111" s="1"/>
  <c r="E98" i="111" a="1"/>
  <c r="E98" i="111" s="1"/>
  <c r="N98" i="111" s="1"/>
  <c r="D98" i="111" a="1"/>
  <c r="D98" i="111" s="1"/>
  <c r="I97" i="111" a="1"/>
  <c r="I97" i="111" s="1"/>
  <c r="H97" i="111" a="1"/>
  <c r="H97" i="111" s="1"/>
  <c r="G97" i="111" a="1"/>
  <c r="G97" i="111" s="1"/>
  <c r="F97" i="111" a="1"/>
  <c r="F97" i="111" s="1"/>
  <c r="O97" i="111" s="1"/>
  <c r="E97" i="111" a="1"/>
  <c r="E97" i="111" s="1"/>
  <c r="N97" i="111" s="1"/>
  <c r="D97" i="111" a="1"/>
  <c r="D97" i="111" s="1"/>
  <c r="I96" i="111" a="1"/>
  <c r="I96" i="111" s="1"/>
  <c r="H96" i="111" a="1"/>
  <c r="H96" i="111" s="1"/>
  <c r="G96" i="111" a="1"/>
  <c r="G96" i="111" s="1"/>
  <c r="F96" i="111" a="1"/>
  <c r="F96" i="111" s="1"/>
  <c r="O96" i="111" s="1"/>
  <c r="E96" i="111" a="1"/>
  <c r="E96" i="111" s="1"/>
  <c r="N96" i="111" s="1"/>
  <c r="D96" i="111" a="1"/>
  <c r="D96" i="111" s="1"/>
  <c r="I95" i="111" a="1"/>
  <c r="I95" i="111" s="1"/>
  <c r="H95" i="111" a="1"/>
  <c r="H95" i="111" s="1"/>
  <c r="G95" i="111" a="1"/>
  <c r="G95" i="111" s="1"/>
  <c r="F95" i="111" a="1"/>
  <c r="F95" i="111" s="1"/>
  <c r="O95" i="111" s="1"/>
  <c r="E95" i="111" a="1"/>
  <c r="E95" i="111" s="1"/>
  <c r="N95" i="111" s="1"/>
  <c r="D95" i="111" a="1"/>
  <c r="D95" i="111" s="1"/>
  <c r="I94" i="111" a="1"/>
  <c r="I94" i="111" s="1"/>
  <c r="H94" i="111" a="1"/>
  <c r="H94" i="111" s="1"/>
  <c r="G94" i="111" a="1"/>
  <c r="G94" i="111" s="1"/>
  <c r="F94" i="111" a="1"/>
  <c r="F94" i="111" s="1"/>
  <c r="O94" i="111" s="1"/>
  <c r="E94" i="111" a="1"/>
  <c r="E94" i="111" s="1"/>
  <c r="N94" i="111" s="1"/>
  <c r="D94" i="111" a="1"/>
  <c r="D94" i="111" s="1"/>
  <c r="I93" i="111" a="1"/>
  <c r="I93" i="111" s="1"/>
  <c r="H93" i="111" a="1"/>
  <c r="H93" i="111" s="1"/>
  <c r="G93" i="111" a="1"/>
  <c r="G93" i="111" s="1"/>
  <c r="F93" i="111" a="1"/>
  <c r="F93" i="111" s="1"/>
  <c r="O93" i="111" s="1"/>
  <c r="E93" i="111" a="1"/>
  <c r="E93" i="111" s="1"/>
  <c r="N93" i="111" s="1"/>
  <c r="D93" i="111" a="1"/>
  <c r="D93" i="111" s="1"/>
  <c r="I92" i="111" a="1"/>
  <c r="I92" i="111" s="1"/>
  <c r="H92" i="111" a="1"/>
  <c r="H92" i="111" s="1"/>
  <c r="G92" i="111" a="1"/>
  <c r="G92" i="111" s="1"/>
  <c r="F92" i="111" a="1"/>
  <c r="F92" i="111" s="1"/>
  <c r="O92" i="111" s="1"/>
  <c r="E92" i="111" a="1"/>
  <c r="E92" i="111" s="1"/>
  <c r="N92" i="111" s="1"/>
  <c r="D92" i="111" a="1"/>
  <c r="D92" i="111" s="1"/>
  <c r="I91" i="111" a="1"/>
  <c r="I91" i="111" s="1"/>
  <c r="H91" i="111" a="1"/>
  <c r="H91" i="111" s="1"/>
  <c r="G91" i="111" a="1"/>
  <c r="G91" i="111" s="1"/>
  <c r="F91" i="111" a="1"/>
  <c r="F91" i="111" s="1"/>
  <c r="O91" i="111" s="1"/>
  <c r="E91" i="111" a="1"/>
  <c r="E91" i="111" s="1"/>
  <c r="N91" i="111" s="1"/>
  <c r="P90" i="111" s="1"/>
  <c r="D91" i="111" a="1"/>
  <c r="D91" i="111" s="1"/>
  <c r="I90" i="111" a="1"/>
  <c r="I90" i="111" s="1"/>
  <c r="H90" i="111" a="1"/>
  <c r="H90" i="111" s="1"/>
  <c r="G90" i="111" a="1"/>
  <c r="G90" i="111" s="1"/>
  <c r="F90" i="111" a="1"/>
  <c r="F90" i="111" s="1"/>
  <c r="L90" i="111" s="1"/>
  <c r="E90" i="111" a="1"/>
  <c r="E90" i="111" s="1"/>
  <c r="P126" i="109" s="1" a="1"/>
  <c r="P126" i="109" s="1"/>
  <c r="D90" i="111" a="1"/>
  <c r="D90" i="111" s="1"/>
  <c r="I86" i="111" a="1"/>
  <c r="I86" i="111" s="1"/>
  <c r="H86" i="111" a="1"/>
  <c r="H86" i="111" s="1"/>
  <c r="G86" i="111" a="1"/>
  <c r="G86" i="111" s="1"/>
  <c r="F86" i="111" a="1"/>
  <c r="F86" i="111" s="1"/>
  <c r="E86" i="111" a="1"/>
  <c r="E86" i="111" s="1"/>
  <c r="D86" i="111" a="1"/>
  <c r="D86" i="111" s="1"/>
  <c r="I85" i="111" a="1"/>
  <c r="I85" i="111" s="1"/>
  <c r="H85" i="111" a="1"/>
  <c r="H85" i="111" s="1"/>
  <c r="G85" i="111" a="1"/>
  <c r="G85" i="111" s="1"/>
  <c r="F85" i="111" a="1"/>
  <c r="F85" i="111" s="1"/>
  <c r="E85" i="111" a="1"/>
  <c r="E85" i="111" s="1"/>
  <c r="D85" i="111" a="1"/>
  <c r="D85" i="111" s="1"/>
  <c r="I84" i="111" a="1"/>
  <c r="I84" i="111" s="1"/>
  <c r="H84" i="111" a="1"/>
  <c r="H84" i="111" s="1"/>
  <c r="G84" i="111" a="1"/>
  <c r="G84" i="111" s="1"/>
  <c r="F84" i="111" a="1"/>
  <c r="F84" i="111" s="1"/>
  <c r="E84" i="111" a="1"/>
  <c r="E84" i="111" s="1"/>
  <c r="D84" i="111" a="1"/>
  <c r="D84" i="111" s="1"/>
  <c r="I83" i="111" a="1"/>
  <c r="I83" i="111" s="1"/>
  <c r="H83" i="111" a="1"/>
  <c r="H83" i="111" s="1"/>
  <c r="G83" i="111" a="1"/>
  <c r="G83" i="111" s="1"/>
  <c r="F83" i="111" a="1"/>
  <c r="F83" i="111" s="1"/>
  <c r="E83" i="111" a="1"/>
  <c r="E83" i="111" s="1"/>
  <c r="D83" i="111" a="1"/>
  <c r="D83" i="111" s="1"/>
  <c r="I80" i="111" a="1"/>
  <c r="I80" i="111" s="1"/>
  <c r="H80" i="111"/>
  <c r="H80" i="111" a="1"/>
  <c r="G80" i="111" a="1"/>
  <c r="G80" i="111" s="1"/>
  <c r="F80" i="111" a="1"/>
  <c r="F80" i="111" s="1"/>
  <c r="E80" i="111" a="1"/>
  <c r="E80" i="111" s="1"/>
  <c r="D80" i="111" a="1"/>
  <c r="D80" i="111" s="1"/>
  <c r="I79" i="111" a="1"/>
  <c r="I79" i="111" s="1"/>
  <c r="H79" i="111" a="1"/>
  <c r="H79" i="111" s="1"/>
  <c r="G79" i="111" a="1"/>
  <c r="G79" i="111" s="1"/>
  <c r="F79" i="111" a="1"/>
  <c r="F79" i="111" s="1"/>
  <c r="E79" i="111" a="1"/>
  <c r="E79" i="111" s="1"/>
  <c r="D79" i="111" a="1"/>
  <c r="D79" i="111" s="1"/>
  <c r="I78" i="111" a="1"/>
  <c r="I78" i="111" s="1"/>
  <c r="H78" i="111" a="1"/>
  <c r="H78" i="111" s="1"/>
  <c r="G78" i="111" a="1"/>
  <c r="G78" i="111" s="1"/>
  <c r="F78" i="111" a="1"/>
  <c r="F78" i="111" s="1"/>
  <c r="E78" i="111" a="1"/>
  <c r="E78" i="111" s="1"/>
  <c r="G439" i="109" s="1" a="1"/>
  <c r="G439" i="109" s="1"/>
  <c r="D78" i="111" a="1"/>
  <c r="D78" i="111" s="1"/>
  <c r="I74" i="111" a="1"/>
  <c r="I74" i="111" s="1"/>
  <c r="H74" i="111" a="1"/>
  <c r="H74" i="111" s="1"/>
  <c r="G74" i="111" a="1"/>
  <c r="G74" i="111" s="1"/>
  <c r="F74" i="111" a="1"/>
  <c r="F74" i="111" s="1"/>
  <c r="E74" i="111" a="1"/>
  <c r="E74" i="111" s="1"/>
  <c r="D74" i="111" a="1"/>
  <c r="D74" i="111" s="1"/>
  <c r="I73" i="111" a="1"/>
  <c r="I73" i="111" s="1"/>
  <c r="H73" i="111" a="1"/>
  <c r="H73" i="111" s="1"/>
  <c r="G73" i="111" a="1"/>
  <c r="G73" i="111" s="1"/>
  <c r="F73" i="111" a="1"/>
  <c r="F73" i="111" s="1"/>
  <c r="E73" i="111" a="1"/>
  <c r="E73" i="111" s="1"/>
  <c r="D73" i="111" a="1"/>
  <c r="D73" i="111" s="1"/>
  <c r="I72" i="111" a="1"/>
  <c r="I72" i="111" s="1"/>
  <c r="H72" i="111" a="1"/>
  <c r="H72" i="111" s="1"/>
  <c r="G72" i="111" a="1"/>
  <c r="G72" i="111" s="1"/>
  <c r="F72" i="111" a="1"/>
  <c r="F72" i="111" s="1"/>
  <c r="E72" i="111" a="1"/>
  <c r="E72" i="111" s="1"/>
  <c r="D72" i="111" a="1"/>
  <c r="D72" i="111" s="1"/>
  <c r="I71" i="111" a="1"/>
  <c r="I71" i="111" s="1"/>
  <c r="H71" i="111" a="1"/>
  <c r="H71" i="111" s="1"/>
  <c r="G71" i="111" a="1"/>
  <c r="G71" i="111" s="1"/>
  <c r="F71" i="111" a="1"/>
  <c r="F71" i="111" s="1"/>
  <c r="E71" i="111" a="1"/>
  <c r="E71" i="111" s="1"/>
  <c r="D71" i="111" a="1"/>
  <c r="D71" i="111" s="1"/>
  <c r="I70" i="111" a="1"/>
  <c r="I70" i="111" s="1"/>
  <c r="H70" i="111" a="1"/>
  <c r="H70" i="111" s="1"/>
  <c r="G70" i="111" a="1"/>
  <c r="G70" i="111" s="1"/>
  <c r="F70" i="111" a="1"/>
  <c r="F70" i="111" s="1"/>
  <c r="E70" i="111" a="1"/>
  <c r="E70" i="111" s="1"/>
  <c r="D70" i="111" a="1"/>
  <c r="D70" i="111" s="1"/>
  <c r="I69" i="111" a="1"/>
  <c r="I69" i="111" s="1"/>
  <c r="H69" i="111" a="1"/>
  <c r="H69" i="111" s="1"/>
  <c r="G69" i="111" a="1"/>
  <c r="G69" i="111" s="1"/>
  <c r="F69" i="111" a="1"/>
  <c r="F69" i="111" s="1"/>
  <c r="E69" i="111" a="1"/>
  <c r="E69" i="111" s="1"/>
  <c r="D69" i="111" a="1"/>
  <c r="D69" i="111" s="1"/>
  <c r="I68" i="111" a="1"/>
  <c r="I68" i="111" s="1"/>
  <c r="H68" i="111"/>
  <c r="H68" i="111" a="1"/>
  <c r="G68" i="111" a="1"/>
  <c r="G68" i="111" s="1"/>
  <c r="F68" i="111" a="1"/>
  <c r="F68" i="111" s="1"/>
  <c r="E68" i="111" a="1"/>
  <c r="E68" i="111" s="1"/>
  <c r="D68" i="111" a="1"/>
  <c r="D68" i="111" s="1"/>
  <c r="I67" i="111" a="1"/>
  <c r="I67" i="111" s="1"/>
  <c r="H67" i="111" a="1"/>
  <c r="H67" i="111" s="1"/>
  <c r="G67" i="111" a="1"/>
  <c r="G67" i="111" s="1"/>
  <c r="F67" i="111" a="1"/>
  <c r="F67" i="111" s="1"/>
  <c r="E67" i="111" a="1"/>
  <c r="E67" i="111" s="1"/>
  <c r="D67" i="111" a="1"/>
  <c r="D67" i="111" s="1"/>
  <c r="I66" i="111" a="1"/>
  <c r="I66" i="111" s="1"/>
  <c r="H66" i="111" a="1"/>
  <c r="H66" i="111" s="1"/>
  <c r="G66" i="111" a="1"/>
  <c r="G66" i="111" s="1"/>
  <c r="F66" i="111" a="1"/>
  <c r="F66" i="111" s="1"/>
  <c r="E66" i="111" a="1"/>
  <c r="E66" i="111" s="1"/>
  <c r="D66" i="111" a="1"/>
  <c r="D66" i="111" s="1"/>
  <c r="I65" i="111" a="1"/>
  <c r="I65" i="111" s="1"/>
  <c r="H65" i="111" a="1"/>
  <c r="H65" i="111" s="1"/>
  <c r="G65" i="111" a="1"/>
  <c r="G65" i="111" s="1"/>
  <c r="F65" i="111" a="1"/>
  <c r="F65" i="111" s="1"/>
  <c r="E65" i="111" a="1"/>
  <c r="E65" i="111" s="1"/>
  <c r="D65" i="111" a="1"/>
  <c r="D65" i="111" s="1"/>
  <c r="I64" i="111" a="1"/>
  <c r="I64" i="111" s="1"/>
  <c r="H64" i="111" a="1"/>
  <c r="H64" i="111" s="1"/>
  <c r="G64" i="111" a="1"/>
  <c r="G64" i="111" s="1"/>
  <c r="F64" i="111" a="1"/>
  <c r="F64" i="111" s="1"/>
  <c r="E64" i="111" a="1"/>
  <c r="E64" i="111" s="1"/>
  <c r="D64" i="111" a="1"/>
  <c r="D64" i="111" s="1"/>
  <c r="I63" i="111" a="1"/>
  <c r="I63" i="111" s="1"/>
  <c r="H63" i="111" a="1"/>
  <c r="H63" i="111" s="1"/>
  <c r="G63" i="111" a="1"/>
  <c r="G63" i="111" s="1"/>
  <c r="F63" i="111" a="1"/>
  <c r="F63" i="111" s="1"/>
  <c r="E63" i="111" a="1"/>
  <c r="E63" i="111" s="1"/>
  <c r="D63" i="111" a="1"/>
  <c r="D63" i="111" s="1"/>
  <c r="I62" i="111" a="1"/>
  <c r="I62" i="111" s="1"/>
  <c r="H62" i="111" a="1"/>
  <c r="H62" i="111" s="1"/>
  <c r="G62" i="111" a="1"/>
  <c r="G62" i="111" s="1"/>
  <c r="F62" i="111" a="1"/>
  <c r="F62" i="111" s="1"/>
  <c r="E62" i="111" a="1"/>
  <c r="E62" i="111" s="1"/>
  <c r="D62" i="111" a="1"/>
  <c r="D62" i="111" s="1"/>
  <c r="I61" i="111" a="1"/>
  <c r="I61" i="111" s="1"/>
  <c r="H61" i="111" a="1"/>
  <c r="H61" i="111" s="1"/>
  <c r="G61" i="111" a="1"/>
  <c r="G61" i="111" s="1"/>
  <c r="F61" i="111" a="1"/>
  <c r="F61" i="111" s="1"/>
  <c r="E61" i="111" a="1"/>
  <c r="E61" i="111" s="1"/>
  <c r="D61" i="111" a="1"/>
  <c r="D61" i="111" s="1"/>
  <c r="I60" i="111" a="1"/>
  <c r="I60" i="111" s="1"/>
  <c r="H60" i="111" a="1"/>
  <c r="H60" i="111" s="1"/>
  <c r="G60" i="111" a="1"/>
  <c r="G60" i="111" s="1"/>
  <c r="F60" i="111" a="1"/>
  <c r="F60" i="111" s="1"/>
  <c r="E60" i="111" a="1"/>
  <c r="E60" i="111" s="1"/>
  <c r="D60" i="111" a="1"/>
  <c r="D60" i="111" s="1"/>
  <c r="I59" i="111" a="1"/>
  <c r="I59" i="111" s="1"/>
  <c r="H59" i="111" a="1"/>
  <c r="H59" i="111" s="1"/>
  <c r="G59" i="111" a="1"/>
  <c r="G59" i="111" s="1"/>
  <c r="F59" i="111" a="1"/>
  <c r="F59" i="111" s="1"/>
  <c r="E59" i="111" a="1"/>
  <c r="E59" i="111" s="1"/>
  <c r="D59" i="111" a="1"/>
  <c r="D59" i="111" s="1"/>
  <c r="I58" i="111" a="1"/>
  <c r="I58" i="111" s="1"/>
  <c r="H58" i="111" a="1"/>
  <c r="H58" i="111" s="1"/>
  <c r="G58" i="111" a="1"/>
  <c r="G58" i="111" s="1"/>
  <c r="F58" i="111" a="1"/>
  <c r="F58" i="111" s="1"/>
  <c r="E58" i="111" a="1"/>
  <c r="E58" i="111" s="1"/>
  <c r="D58" i="111" a="1"/>
  <c r="D58" i="111" s="1"/>
  <c r="I57" i="111" a="1"/>
  <c r="I57" i="111" s="1"/>
  <c r="H57" i="111" a="1"/>
  <c r="H57" i="111" s="1"/>
  <c r="G57" i="111" a="1"/>
  <c r="G57" i="111" s="1"/>
  <c r="F57" i="111" a="1"/>
  <c r="F57" i="111" s="1"/>
  <c r="E57" i="111" a="1"/>
  <c r="E57" i="111" s="1"/>
  <c r="D57" i="111" a="1"/>
  <c r="D57" i="111" s="1"/>
  <c r="I56" i="111" a="1"/>
  <c r="I56" i="111" s="1"/>
  <c r="H56" i="111" a="1"/>
  <c r="H56" i="111" s="1"/>
  <c r="G56" i="111" a="1"/>
  <c r="G56" i="111" s="1"/>
  <c r="F56" i="111" a="1"/>
  <c r="F56" i="111" s="1"/>
  <c r="E56" i="111" a="1"/>
  <c r="E56" i="111" s="1"/>
  <c r="D56" i="111"/>
  <c r="D56" i="111" a="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I51" i="111" a="1"/>
  <c r="I51" i="111" s="1"/>
  <c r="H51" i="111" a="1"/>
  <c r="H51" i="111" s="1"/>
  <c r="G51" i="111" a="1"/>
  <c r="G51" i="111" s="1"/>
  <c r="F51" i="111" a="1"/>
  <c r="F51" i="111" s="1"/>
  <c r="E51" i="111" a="1"/>
  <c r="E51" i="111" s="1"/>
  <c r="D51" i="111" a="1"/>
  <c r="D51" i="111" s="1"/>
  <c r="I50" i="111" a="1"/>
  <c r="I50" i="111" s="1"/>
  <c r="H50" i="111" a="1"/>
  <c r="H50" i="111" s="1"/>
  <c r="G50" i="111" a="1"/>
  <c r="G50" i="111" s="1"/>
  <c r="F50" i="111" a="1"/>
  <c r="F50" i="111" s="1"/>
  <c r="E50" i="111" a="1"/>
  <c r="E50" i="111" s="1"/>
  <c r="D50" i="111" a="1"/>
  <c r="D50" i="111" s="1"/>
  <c r="I49" i="111" a="1"/>
  <c r="I49" i="111" s="1"/>
  <c r="H49" i="111" a="1"/>
  <c r="H49" i="111" s="1"/>
  <c r="G49" i="111" a="1"/>
  <c r="G49" i="111" s="1"/>
  <c r="F49" i="111" a="1"/>
  <c r="F49" i="111" s="1"/>
  <c r="E49" i="111" a="1"/>
  <c r="E49" i="111" s="1"/>
  <c r="D49" i="111" a="1"/>
  <c r="D49" i="111" s="1"/>
  <c r="I48" i="111" a="1"/>
  <c r="I48" i="111" s="1"/>
  <c r="H48" i="111" a="1"/>
  <c r="H48" i="111" s="1"/>
  <c r="G48" i="111" a="1"/>
  <c r="G48" i="111" s="1"/>
  <c r="F48" i="111" a="1"/>
  <c r="F48" i="111" s="1"/>
  <c r="E48" i="111" a="1"/>
  <c r="E48" i="111" s="1"/>
  <c r="D48" i="111" a="1"/>
  <c r="D48" i="111" s="1"/>
  <c r="I47" i="111" a="1"/>
  <c r="I47" i="111" s="1"/>
  <c r="H47" i="111" a="1"/>
  <c r="H47" i="111" s="1"/>
  <c r="G47" i="111" a="1"/>
  <c r="G47" i="111" s="1"/>
  <c r="F47" i="111" a="1"/>
  <c r="F47" i="111" s="1"/>
  <c r="E47" i="111" a="1"/>
  <c r="E47" i="111" s="1"/>
  <c r="D47" i="111" a="1"/>
  <c r="D47" i="111" s="1"/>
  <c r="I46" i="111" a="1"/>
  <c r="I46" i="111" s="1"/>
  <c r="H46" i="111" a="1"/>
  <c r="H46" i="111" s="1"/>
  <c r="G46" i="111" a="1"/>
  <c r="G46" i="111" s="1"/>
  <c r="F46" i="111" a="1"/>
  <c r="F46" i="111" s="1"/>
  <c r="E46" i="111" a="1"/>
  <c r="E46" i="111" s="1"/>
  <c r="D46" i="111" a="1"/>
  <c r="D46" i="111" s="1"/>
  <c r="I45" i="111" a="1"/>
  <c r="I45" i="111" s="1"/>
  <c r="H45" i="111" a="1"/>
  <c r="H45" i="111" s="1"/>
  <c r="G45" i="111" a="1"/>
  <c r="G45" i="111" s="1"/>
  <c r="F45" i="111" a="1"/>
  <c r="F45" i="111" s="1"/>
  <c r="E45" i="111" a="1"/>
  <c r="E45" i="111" s="1"/>
  <c r="D45" i="111" a="1"/>
  <c r="D45" i="111" s="1"/>
  <c r="I44" i="111" a="1"/>
  <c r="I44" i="111" s="1"/>
  <c r="H44" i="111" a="1"/>
  <c r="H44" i="111" s="1"/>
  <c r="G44" i="111" a="1"/>
  <c r="G44" i="111" s="1"/>
  <c r="F44" i="111" a="1"/>
  <c r="F44" i="111" s="1"/>
  <c r="E44" i="111" a="1"/>
  <c r="E44" i="111" s="1"/>
  <c r="D44" i="111" a="1"/>
  <c r="D44" i="111" s="1"/>
  <c r="I43" i="111" a="1"/>
  <c r="I43" i="111" s="1"/>
  <c r="H43" i="111" a="1"/>
  <c r="H43" i="111" s="1"/>
  <c r="G43" i="111" a="1"/>
  <c r="G43" i="111" s="1"/>
  <c r="F43" i="111" a="1"/>
  <c r="F43" i="111" s="1"/>
  <c r="E43" i="111" a="1"/>
  <c r="E43" i="111" s="1"/>
  <c r="D43" i="111" a="1"/>
  <c r="D43" i="111" s="1"/>
  <c r="I42" i="111" a="1"/>
  <c r="I42" i="111" s="1"/>
  <c r="H42" i="111" a="1"/>
  <c r="H42" i="111" s="1"/>
  <c r="G42" i="111" a="1"/>
  <c r="G42" i="111" s="1"/>
  <c r="F42" i="111" a="1"/>
  <c r="F42" i="111" s="1"/>
  <c r="E42" i="111" a="1"/>
  <c r="E42" i="111" s="1"/>
  <c r="D42" i="111" a="1"/>
  <c r="D42" i="111" s="1"/>
  <c r="I41" i="111" a="1"/>
  <c r="I41" i="111" s="1"/>
  <c r="H41" i="111" a="1"/>
  <c r="H41" i="111" s="1"/>
  <c r="G41" i="111" a="1"/>
  <c r="G41" i="111" s="1"/>
  <c r="F41" i="111" a="1"/>
  <c r="F41" i="111" s="1"/>
  <c r="E41" i="111" a="1"/>
  <c r="E41" i="111" s="1"/>
  <c r="D41" i="111" a="1"/>
  <c r="D41" i="111" s="1"/>
  <c r="I40" i="111" a="1"/>
  <c r="I40" i="111" s="1"/>
  <c r="H40" i="111" a="1"/>
  <c r="H40" i="111" s="1"/>
  <c r="G40" i="111" a="1"/>
  <c r="G40" i="111" s="1"/>
  <c r="F40" i="111" a="1"/>
  <c r="F40" i="111" s="1"/>
  <c r="E40" i="111" a="1"/>
  <c r="E40" i="111" s="1"/>
  <c r="D40" i="111" a="1"/>
  <c r="D40" i="111" s="1"/>
  <c r="I39" i="111" a="1"/>
  <c r="I39" i="111" s="1"/>
  <c r="H39" i="111" a="1"/>
  <c r="H39" i="111" s="1"/>
  <c r="G39" i="111" a="1"/>
  <c r="G39" i="111" s="1"/>
  <c r="F39" i="111" a="1"/>
  <c r="F39" i="111" s="1"/>
  <c r="E39" i="111" a="1"/>
  <c r="E39" i="111" s="1"/>
  <c r="D39" i="111" a="1"/>
  <c r="D39" i="111" s="1"/>
  <c r="I38" i="111" a="1"/>
  <c r="I38" i="111" s="1"/>
  <c r="H38" i="111" a="1"/>
  <c r="H38" i="111" s="1"/>
  <c r="G38" i="111" a="1"/>
  <c r="G38" i="111" s="1"/>
  <c r="F38" i="111" a="1"/>
  <c r="F38" i="111" s="1"/>
  <c r="E38" i="111" a="1"/>
  <c r="E38" i="111" s="1"/>
  <c r="D38" i="111" a="1"/>
  <c r="D38" i="111" s="1"/>
  <c r="I37" i="111" a="1"/>
  <c r="I37" i="111" s="1"/>
  <c r="H37" i="111" a="1"/>
  <c r="H37" i="111" s="1"/>
  <c r="G37" i="111" a="1"/>
  <c r="G37" i="111" s="1"/>
  <c r="F37" i="111" a="1"/>
  <c r="F37" i="111" s="1"/>
  <c r="E37" i="111" a="1"/>
  <c r="E37" i="111" s="1"/>
  <c r="D37" i="111" a="1"/>
  <c r="D37" i="111" s="1"/>
  <c r="I36" i="111" a="1"/>
  <c r="I36" i="111" s="1"/>
  <c r="H36" i="111" a="1"/>
  <c r="H36" i="111" s="1"/>
  <c r="G36" i="111" a="1"/>
  <c r="G36" i="111" s="1"/>
  <c r="F36" i="111" a="1"/>
  <c r="F36" i="111" s="1"/>
  <c r="E36" i="111" a="1"/>
  <c r="E36" i="111" s="1"/>
  <c r="D36" i="111" a="1"/>
  <c r="D36" i="111" s="1"/>
  <c r="I35" i="111" a="1"/>
  <c r="I35" i="111" s="1"/>
  <c r="H35" i="111" a="1"/>
  <c r="H35" i="111" s="1"/>
  <c r="G35" i="111" a="1"/>
  <c r="G35" i="111" s="1"/>
  <c r="F35" i="111" a="1"/>
  <c r="F35" i="111" s="1"/>
  <c r="E35" i="111" a="1"/>
  <c r="E35" i="111" s="1"/>
  <c r="D35" i="111" a="1"/>
  <c r="D35" i="111" s="1"/>
  <c r="I34" i="111" a="1"/>
  <c r="I34" i="111" s="1"/>
  <c r="H34" i="111" a="1"/>
  <c r="H34" i="111" s="1"/>
  <c r="G34" i="111" a="1"/>
  <c r="G34" i="111" s="1"/>
  <c r="F34" i="111" a="1"/>
  <c r="F34" i="111" s="1"/>
  <c r="E34" i="111" a="1"/>
  <c r="E34" i="111" s="1"/>
  <c r="D34" i="111" a="1"/>
  <c r="D34" i="111" s="1"/>
  <c r="R85" i="110" a="1"/>
  <c r="R85" i="110" s="1"/>
  <c r="N85" i="110" a="1"/>
  <c r="N85" i="110" s="1"/>
  <c r="H85" i="110" a="1"/>
  <c r="H85" i="110" s="1"/>
  <c r="D85" i="110" a="1"/>
  <c r="D85" i="110" s="1"/>
  <c r="O83" i="110" a="1"/>
  <c r="O83" i="110" s="1"/>
  <c r="E83" i="110" a="1"/>
  <c r="E83" i="110" s="1"/>
  <c r="O82" i="110" a="1"/>
  <c r="O82" i="110" s="1"/>
  <c r="E82" i="110" a="1"/>
  <c r="E82" i="110" s="1"/>
  <c r="N78" i="110" a="1"/>
  <c r="N78" i="110" s="1"/>
  <c r="D78" i="110" a="1"/>
  <c r="D78" i="110" s="1"/>
  <c r="N77" i="110" a="1"/>
  <c r="N77" i="110" s="1"/>
  <c r="D77" i="110" a="1"/>
  <c r="D77" i="110" s="1"/>
  <c r="I72" i="110"/>
  <c r="I71" i="110"/>
  <c r="I70" i="110"/>
  <c r="S67" i="110"/>
  <c r="Q67" i="110" a="1"/>
  <c r="Q67" i="110" s="1"/>
  <c r="N67" i="110" a="1"/>
  <c r="N67" i="110" s="1"/>
  <c r="I67" i="110"/>
  <c r="G67" i="110" a="1"/>
  <c r="G67" i="110" s="1"/>
  <c r="D67" i="110" a="1"/>
  <c r="D67" i="110" s="1"/>
  <c r="O65" i="110" a="1"/>
  <c r="O65" i="110" s="1"/>
  <c r="E65" i="110" a="1"/>
  <c r="E65" i="110" s="1"/>
  <c r="O64" i="110" a="1"/>
  <c r="O64" i="110" s="1"/>
  <c r="E64" i="110" a="1"/>
  <c r="E64" i="110" s="1"/>
  <c r="N60" i="110" a="1"/>
  <c r="N60" i="110" s="1"/>
  <c r="D60" i="110" a="1"/>
  <c r="D60" i="110" s="1"/>
  <c r="N59" i="110" a="1"/>
  <c r="N59" i="110" s="1"/>
  <c r="D59" i="110" a="1"/>
  <c r="D59" i="110" s="1"/>
  <c r="I52" i="110"/>
  <c r="I51" i="110"/>
  <c r="Q48" i="110" a="1"/>
  <c r="Q48" i="110" s="1"/>
  <c r="N48" i="110" a="1"/>
  <c r="N48" i="110" s="1"/>
  <c r="G48" i="110" a="1"/>
  <c r="G48" i="110" s="1"/>
  <c r="D48" i="110" a="1"/>
  <c r="D48" i="110" s="1"/>
  <c r="O46" i="110" a="1"/>
  <c r="O46" i="110" s="1"/>
  <c r="E46" i="110" a="1"/>
  <c r="E46" i="110" s="1"/>
  <c r="O45" i="110" a="1"/>
  <c r="O45" i="110" s="1"/>
  <c r="E45" i="110" a="1"/>
  <c r="E45" i="110" s="1"/>
  <c r="N41" i="110" a="1"/>
  <c r="N41" i="110" s="1"/>
  <c r="D41" i="110" a="1"/>
  <c r="D41" i="110" s="1"/>
  <c r="N40" i="110" a="1"/>
  <c r="N40" i="110" s="1"/>
  <c r="D40" i="110" a="1"/>
  <c r="D40" i="110" s="1"/>
  <c r="S32" i="110"/>
  <c r="Q32" i="110" a="1"/>
  <c r="Q32" i="110" s="1"/>
  <c r="N32" i="110" a="1"/>
  <c r="N32" i="110" s="1"/>
  <c r="I32" i="110"/>
  <c r="G32" i="110" a="1"/>
  <c r="G32" i="110" s="1"/>
  <c r="D32" i="110" a="1"/>
  <c r="D32" i="110" s="1"/>
  <c r="O30" i="110" a="1"/>
  <c r="O30" i="110" s="1"/>
  <c r="P35" i="110" s="1"/>
  <c r="E30" i="110" a="1"/>
  <c r="E30" i="110" s="1"/>
  <c r="F35" i="110" s="1"/>
  <c r="O29" i="110" a="1"/>
  <c r="O29" i="110" s="1"/>
  <c r="E29" i="110" a="1"/>
  <c r="E29" i="110" s="1"/>
  <c r="N25" i="110" a="1"/>
  <c r="N25" i="110" s="1"/>
  <c r="D25" i="110" a="1"/>
  <c r="D25" i="110" s="1"/>
  <c r="N24" i="110" a="1"/>
  <c r="N24" i="110" s="1"/>
  <c r="D24" i="110" a="1"/>
  <c r="D24" i="110" s="1"/>
  <c r="J16" i="110"/>
  <c r="T13" i="110"/>
  <c r="R13" i="110" a="1"/>
  <c r="R13" i="110" s="1"/>
  <c r="N13" i="110" a="1"/>
  <c r="N13" i="110" s="1"/>
  <c r="J13" i="110"/>
  <c r="H13" i="110" a="1"/>
  <c r="H13" i="110" s="1"/>
  <c r="D13" i="110" a="1"/>
  <c r="D13" i="110" s="1"/>
  <c r="O11" i="110" a="1"/>
  <c r="O11" i="110" s="1"/>
  <c r="E11" i="110" a="1"/>
  <c r="E11" i="110" s="1"/>
  <c r="O10" i="110" a="1"/>
  <c r="O10" i="110" s="1"/>
  <c r="E10" i="110" a="1"/>
  <c r="E10" i="110" s="1"/>
  <c r="N6" i="110" a="1"/>
  <c r="N6" i="110" s="1"/>
  <c r="D6" i="110" a="1"/>
  <c r="D6" i="110" s="1"/>
  <c r="N5" i="110" a="1"/>
  <c r="N5" i="110" s="1"/>
  <c r="D5" i="110" a="1"/>
  <c r="D5" i="110" s="1"/>
  <c r="J617" i="109" a="1"/>
  <c r="J617" i="109" s="1"/>
  <c r="J616" i="109" a="1"/>
  <c r="J616" i="109" s="1"/>
  <c r="J613" i="109" a="1"/>
  <c r="J613" i="109" s="1"/>
  <c r="J612" i="109" a="1"/>
  <c r="J612" i="109" s="1"/>
  <c r="J610" i="109" a="1"/>
  <c r="J610" i="109" s="1"/>
  <c r="J615" i="109" a="1"/>
  <c r="J615" i="109" s="1"/>
  <c r="G601" i="109" a="1"/>
  <c r="G601" i="109" s="1"/>
  <c r="D601" i="109" a="1"/>
  <c r="D601" i="109" s="1"/>
  <c r="E599" i="109" a="1"/>
  <c r="E599" i="109" s="1"/>
  <c r="E598" i="109" a="1"/>
  <c r="E598" i="109" s="1"/>
  <c r="D593" i="109" a="1"/>
  <c r="D593" i="109" s="1"/>
  <c r="D592" i="109" a="1"/>
  <c r="D592" i="109" s="1"/>
  <c r="E586" i="109" a="1"/>
  <c r="E586" i="109" s="1"/>
  <c r="F588" i="109" s="1"/>
  <c r="E585" i="109" a="1"/>
  <c r="E585" i="109" s="1"/>
  <c r="D583" i="109" a="1"/>
  <c r="D583" i="109" s="1"/>
  <c r="D582" i="109" a="1"/>
  <c r="D582" i="109" s="1"/>
  <c r="N578" i="109" a="1"/>
  <c r="N578" i="109" s="1"/>
  <c r="F578" i="109" a="1"/>
  <c r="F578" i="109" s="1"/>
  <c r="L575" i="109" a="1"/>
  <c r="L575" i="109" s="1"/>
  <c r="D575" i="109" a="1"/>
  <c r="D575" i="109" s="1"/>
  <c r="P569" i="109" a="1"/>
  <c r="P569" i="109" s="1"/>
  <c r="L569" i="109" a="1"/>
  <c r="L569" i="109" s="1"/>
  <c r="H569" i="109" a="1"/>
  <c r="H569" i="109" s="1"/>
  <c r="D569" i="109" a="1"/>
  <c r="D569" i="109" s="1"/>
  <c r="E565" i="109" a="1"/>
  <c r="E565" i="109" s="1"/>
  <c r="E564" i="109" a="1"/>
  <c r="E564" i="109" s="1"/>
  <c r="D560" i="109" a="1"/>
  <c r="D560" i="109" s="1"/>
  <c r="D559" i="109" a="1"/>
  <c r="D559" i="109" s="1"/>
  <c r="I553" i="109"/>
  <c r="I549" i="109"/>
  <c r="I548" i="109"/>
  <c r="I547" i="109"/>
  <c r="G547" i="109" a="1"/>
  <c r="G547" i="109" s="1"/>
  <c r="D547" i="109" a="1"/>
  <c r="D547" i="109" s="1"/>
  <c r="E545" i="109" a="1"/>
  <c r="E545" i="109" s="1"/>
  <c r="E544" i="109" a="1"/>
  <c r="E544" i="109" s="1"/>
  <c r="D539" i="109" a="1"/>
  <c r="D539" i="109" s="1"/>
  <c r="D538" i="109" a="1"/>
  <c r="D538" i="109" s="1"/>
  <c r="D537" i="109" a="1"/>
  <c r="D537" i="109" s="1"/>
  <c r="I531" i="109"/>
  <c r="I529" i="109"/>
  <c r="G529" i="109" a="1"/>
  <c r="G529" i="109" s="1"/>
  <c r="D529" i="109" a="1"/>
  <c r="D529" i="109" s="1"/>
  <c r="E527" i="109" a="1"/>
  <c r="E527" i="109" s="1"/>
  <c r="E526" i="109" a="1"/>
  <c r="E526" i="109" s="1"/>
  <c r="D522" i="109" a="1"/>
  <c r="D522" i="109" s="1"/>
  <c r="D521" i="109" a="1"/>
  <c r="D521" i="109" s="1"/>
  <c r="G515" i="109" a="1"/>
  <c r="G515" i="109" s="1"/>
  <c r="D515" i="109" a="1"/>
  <c r="D515" i="109" s="1"/>
  <c r="E513" i="109" a="1"/>
  <c r="E513" i="109" s="1"/>
  <c r="E512" i="109" a="1"/>
  <c r="E512" i="109" s="1"/>
  <c r="D507" i="109" a="1"/>
  <c r="D507" i="109" s="1"/>
  <c r="D506" i="109" a="1"/>
  <c r="D506" i="109" s="1"/>
  <c r="K499" i="109" a="1"/>
  <c r="K499" i="109" s="1"/>
  <c r="K498" i="109" a="1"/>
  <c r="K498" i="109" s="1"/>
  <c r="K497" i="109" a="1"/>
  <c r="K497" i="109" s="1"/>
  <c r="K496" i="109" a="1"/>
  <c r="K496" i="109" s="1"/>
  <c r="K493" i="109" a="1"/>
  <c r="K493" i="109" s="1"/>
  <c r="K492" i="109" a="1"/>
  <c r="K492" i="109" s="1"/>
  <c r="K491" i="109" a="1"/>
  <c r="K491" i="109" s="1"/>
  <c r="K495" i="109" a="1"/>
  <c r="K495" i="109" s="1"/>
  <c r="E481" i="109"/>
  <c r="I481" i="109" s="1" a="1"/>
  <c r="I481" i="109" s="1"/>
  <c r="E480" i="109"/>
  <c r="E479" i="109"/>
  <c r="I479" i="109" s="1" a="1"/>
  <c r="I479" i="109" s="1"/>
  <c r="E470" i="109"/>
  <c r="I470" i="109" s="1" a="1"/>
  <c r="I470" i="109" s="1"/>
  <c r="E469" i="109"/>
  <c r="E468" i="109"/>
  <c r="I468" i="109" s="1" a="1"/>
  <c r="I468" i="109" s="1"/>
  <c r="E467" i="109"/>
  <c r="E466" i="109"/>
  <c r="I466" i="109" s="1" a="1"/>
  <c r="I466" i="109" s="1"/>
  <c r="J453" i="109" a="1"/>
  <c r="J453" i="109" s="1"/>
  <c r="J452" i="109" a="1"/>
  <c r="J452" i="109" s="1"/>
  <c r="J450" i="109" a="1"/>
  <c r="J450" i="109" s="1"/>
  <c r="J449" i="109" a="1"/>
  <c r="J449" i="109" s="1"/>
  <c r="J435" i="109" a="1"/>
  <c r="J435" i="109" s="1"/>
  <c r="J434" i="109" a="1"/>
  <c r="J434" i="109" s="1"/>
  <c r="J432" i="109" a="1"/>
  <c r="J432" i="109" s="1"/>
  <c r="J431" i="109" a="1"/>
  <c r="J431" i="109" s="1"/>
  <c r="G424" i="109" a="1"/>
  <c r="G424" i="109" s="1"/>
  <c r="D424" i="109" a="1"/>
  <c r="D424" i="109" s="1"/>
  <c r="E422" i="109" a="1"/>
  <c r="E422" i="109" s="1"/>
  <c r="E421" i="109" a="1"/>
  <c r="E421" i="109" s="1"/>
  <c r="D416" i="109" a="1"/>
  <c r="D416" i="109" s="1"/>
  <c r="D415" i="109" a="1"/>
  <c r="D415" i="109" s="1"/>
  <c r="J408" i="109" a="1"/>
  <c r="J408" i="109" s="1"/>
  <c r="J403" i="109" a="1"/>
  <c r="J403" i="109" s="1"/>
  <c r="K402" i="109"/>
  <c r="K407" i="109"/>
  <c r="J407" i="109" a="1"/>
  <c r="J407" i="109" s="1"/>
  <c r="F392" i="109" a="1"/>
  <c r="F392" i="109" s="1"/>
  <c r="D392" i="109" a="1"/>
  <c r="D392" i="109" s="1"/>
  <c r="E390" i="109" a="1"/>
  <c r="E390" i="109" s="1"/>
  <c r="E389" i="109" a="1"/>
  <c r="E389" i="109" s="1"/>
  <c r="D384" i="109" a="1"/>
  <c r="D384" i="109" s="1"/>
  <c r="D383" i="109" a="1"/>
  <c r="D383" i="109" s="1"/>
  <c r="F362" i="109" a="1"/>
  <c r="F362" i="109" s="1"/>
  <c r="D362" i="109" a="1"/>
  <c r="D362" i="109" s="1"/>
  <c r="E360" i="109" a="1"/>
  <c r="E360" i="109" s="1"/>
  <c r="E359" i="109" a="1"/>
  <c r="E359" i="109" s="1"/>
  <c r="D354" i="109" a="1"/>
  <c r="D354" i="109" s="1"/>
  <c r="D353" i="109" a="1"/>
  <c r="D353" i="109" s="1"/>
  <c r="D352" i="109" a="1"/>
  <c r="D352" i="109" s="1"/>
  <c r="L343" i="109"/>
  <c r="L339" i="109"/>
  <c r="K340" i="109" a="1"/>
  <c r="K340" i="109" s="1"/>
  <c r="G329" i="109" a="1"/>
  <c r="G329" i="109" s="1"/>
  <c r="D329" i="109" a="1"/>
  <c r="D329" i="109" s="1"/>
  <c r="E327" i="109" a="1"/>
  <c r="E327" i="109" s="1"/>
  <c r="E326" i="109" a="1"/>
  <c r="E326" i="109" s="1"/>
  <c r="D322" i="109" a="1"/>
  <c r="D322" i="109" s="1"/>
  <c r="D321" i="109" a="1"/>
  <c r="D321" i="109" s="1"/>
  <c r="F296" i="109" a="1"/>
  <c r="G300" i="109" s="1"/>
  <c r="D296" i="109" a="1"/>
  <c r="D296" i="109" s="1"/>
  <c r="E294" i="109" a="1"/>
  <c r="E294" i="109" s="1"/>
  <c r="E293" i="109" a="1"/>
  <c r="E293" i="109" s="1"/>
  <c r="D289" i="109" a="1"/>
  <c r="D289" i="109" s="1"/>
  <c r="D288" i="109" a="1"/>
  <c r="D288" i="109" s="1"/>
  <c r="G265" i="109" a="1"/>
  <c r="G265" i="109" s="1"/>
  <c r="D265" i="109" a="1"/>
  <c r="D265" i="109" s="1"/>
  <c r="E263" i="109" a="1"/>
  <c r="E263" i="109" s="1"/>
  <c r="E262" i="109" a="1"/>
  <c r="E262" i="109" s="1"/>
  <c r="D257" i="109" a="1"/>
  <c r="D257" i="109" s="1"/>
  <c r="D256" i="109" a="1"/>
  <c r="D256" i="109" s="1"/>
  <c r="P237" i="109" a="1"/>
  <c r="P237" i="109" s="1"/>
  <c r="O237" i="109" a="1"/>
  <c r="G209" i="109" a="1"/>
  <c r="G209" i="109" s="1"/>
  <c r="D209" i="109" a="1"/>
  <c r="D209" i="109" s="1"/>
  <c r="E207" i="109" a="1"/>
  <c r="E207" i="109" s="1"/>
  <c r="E206" i="109" a="1"/>
  <c r="E206" i="109" s="1"/>
  <c r="D202" i="109" a="1"/>
  <c r="D202" i="109" s="1"/>
  <c r="D201" i="109" a="1"/>
  <c r="D201" i="109" s="1"/>
  <c r="D200" i="109" a="1"/>
  <c r="D200" i="109" s="1"/>
  <c r="G194" i="109" a="1"/>
  <c r="G194" i="109" s="1"/>
  <c r="D194" i="109" a="1"/>
  <c r="D194" i="109" s="1"/>
  <c r="E192" i="109" a="1"/>
  <c r="E192" i="109" s="1"/>
  <c r="E191" i="109" a="1"/>
  <c r="E191" i="109" s="1"/>
  <c r="D187" i="109" a="1"/>
  <c r="D187" i="109" s="1"/>
  <c r="D186" i="109" a="1"/>
  <c r="D186" i="109" s="1"/>
  <c r="G180" i="109" a="1"/>
  <c r="G180" i="109" s="1"/>
  <c r="D180" i="109" a="1"/>
  <c r="D180" i="109" s="1"/>
  <c r="E178" i="109" a="1"/>
  <c r="E178" i="109" s="1"/>
  <c r="E177" i="109" a="1"/>
  <c r="E177" i="109" s="1"/>
  <c r="D173" i="109" a="1"/>
  <c r="D173" i="109" s="1"/>
  <c r="D172" i="109" a="1"/>
  <c r="D172" i="109" s="1"/>
  <c r="D171" i="109" a="1"/>
  <c r="D171" i="109" s="1"/>
  <c r="E164" i="109"/>
  <c r="I164" i="109" s="1" a="1"/>
  <c r="I164" i="109" s="1"/>
  <c r="E163" i="109"/>
  <c r="I163" i="109" s="1" a="1"/>
  <c r="I163" i="109" s="1"/>
  <c r="E162" i="109"/>
  <c r="I162" i="109" s="1" a="1"/>
  <c r="I162" i="109" s="1"/>
  <c r="G157" i="109" a="1"/>
  <c r="G157" i="109" s="1"/>
  <c r="D157" i="109" a="1"/>
  <c r="D157" i="109" s="1"/>
  <c r="E155" i="109" a="1"/>
  <c r="E155" i="109" s="1"/>
  <c r="E154" i="109" a="1"/>
  <c r="E154" i="109" s="1"/>
  <c r="D150" i="109" a="1"/>
  <c r="D150" i="109" s="1"/>
  <c r="D149" i="109" a="1"/>
  <c r="D149" i="109" s="1"/>
  <c r="E139" i="109"/>
  <c r="E138" i="109"/>
  <c r="E137" i="109"/>
  <c r="I137" i="109" s="1" a="1"/>
  <c r="I137" i="109" s="1"/>
  <c r="E136" i="109"/>
  <c r="I136" i="109" s="1" a="1"/>
  <c r="I136" i="109" s="1"/>
  <c r="I120" i="109" a="1"/>
  <c r="I120" i="109" s="1"/>
  <c r="G106" i="109" a="1"/>
  <c r="G106" i="109" s="1"/>
  <c r="D106" i="109" a="1"/>
  <c r="D106" i="109" s="1"/>
  <c r="E104" i="109" a="1"/>
  <c r="E104" i="109" s="1"/>
  <c r="E103" i="109" a="1"/>
  <c r="E103" i="109" s="1"/>
  <c r="D99" i="109" a="1"/>
  <c r="D99" i="109" s="1"/>
  <c r="D98" i="109" a="1"/>
  <c r="D98" i="109" s="1"/>
  <c r="M24" i="109" a="1"/>
  <c r="M24" i="109" s="1"/>
  <c r="G13" i="109" a="1"/>
  <c r="G13" i="109" s="1"/>
  <c r="D13" i="109" a="1"/>
  <c r="D13" i="109" s="1"/>
  <c r="E11" i="109" a="1"/>
  <c r="E11" i="109" s="1"/>
  <c r="E10" i="109" a="1"/>
  <c r="E10" i="109" s="1"/>
  <c r="D6" i="109" a="1"/>
  <c r="D6" i="109" s="1"/>
  <c r="D5" i="109" a="1"/>
  <c r="D5" i="109" s="1"/>
  <c r="H102" i="106"/>
  <c r="H101" i="106"/>
  <c r="H100" i="106"/>
  <c r="H99" i="106"/>
  <c r="H98" i="106"/>
  <c r="H97" i="106"/>
  <c r="H96" i="106"/>
  <c r="H95" i="106"/>
  <c r="H94" i="106"/>
  <c r="H93" i="106"/>
  <c r="F367" i="109" s="1" a="1"/>
  <c r="F367" i="109" s="1"/>
  <c r="H20" i="106"/>
  <c r="R20" i="106" s="1"/>
  <c r="H19" i="106"/>
  <c r="R19" i="106" s="1"/>
  <c r="L18" i="106"/>
  <c r="H18" i="106"/>
  <c r="R18" i="106" s="1"/>
  <c r="H17" i="106"/>
  <c r="R17" i="106" s="1"/>
  <c r="R16" i="106"/>
  <c r="O16" i="106"/>
  <c r="L16" i="106"/>
  <c r="H16" i="106"/>
  <c r="H15" i="106"/>
  <c r="R15" i="106" s="1"/>
  <c r="R14" i="106"/>
  <c r="H14" i="106"/>
  <c r="O14" i="106" s="1"/>
  <c r="H13" i="106"/>
  <c r="O13" i="106" s="1"/>
  <c r="H12" i="106"/>
  <c r="R12" i="106" s="1"/>
  <c r="H11" i="106"/>
  <c r="R11" i="106" s="1"/>
  <c r="Q9" i="106" a="1"/>
  <c r="Q9" i="106" s="1"/>
  <c r="N9" i="106" a="1"/>
  <c r="N9" i="106" s="1"/>
  <c r="K9" i="106" a="1"/>
  <c r="K9" i="106" s="1"/>
  <c r="F235" i="105" a="1"/>
  <c r="F235" i="105" s="1"/>
  <c r="E235" i="105" a="1"/>
  <c r="E235" i="105" s="1"/>
  <c r="D235" i="105" a="1"/>
  <c r="D235" i="105" s="1"/>
  <c r="F234" i="105" a="1"/>
  <c r="F234" i="105" s="1"/>
  <c r="E234" i="105" a="1"/>
  <c r="E234" i="105" s="1"/>
  <c r="D234" i="105" a="1"/>
  <c r="D234" i="105" s="1"/>
  <c r="F233" i="105" a="1"/>
  <c r="F233" i="105" s="1"/>
  <c r="E233" i="105" a="1"/>
  <c r="E233" i="105" s="1"/>
  <c r="D233" i="105" a="1"/>
  <c r="D233" i="105" s="1"/>
  <c r="F232" i="105" a="1"/>
  <c r="F232" i="105" s="1"/>
  <c r="E232" i="105" a="1"/>
  <c r="E232" i="105" s="1"/>
  <c r="D232" i="105" a="1"/>
  <c r="D232" i="105" s="1"/>
  <c r="F231" i="105" a="1"/>
  <c r="F231" i="105" s="1"/>
  <c r="E231" i="105" a="1"/>
  <c r="E231" i="105" s="1"/>
  <c r="D231" i="105" a="1"/>
  <c r="D231" i="105" s="1"/>
  <c r="F230" i="105" a="1"/>
  <c r="F230" i="105" s="1"/>
  <c r="E230" i="105" a="1"/>
  <c r="E230" i="105" s="1"/>
  <c r="D230" i="105" a="1"/>
  <c r="D230" i="105" s="1"/>
  <c r="F229" i="105" a="1"/>
  <c r="F229" i="105" s="1"/>
  <c r="E229" i="105" a="1"/>
  <c r="E229" i="105" s="1"/>
  <c r="D229" i="105" a="1"/>
  <c r="D229" i="105" s="1"/>
  <c r="F228" i="105" a="1"/>
  <c r="F228" i="105" s="1"/>
  <c r="E228" i="105" a="1"/>
  <c r="E228" i="105" s="1"/>
  <c r="D228" i="105" a="1"/>
  <c r="D228" i="105" s="1"/>
  <c r="F227" i="105" a="1"/>
  <c r="F227" i="105" s="1"/>
  <c r="E227" i="105" a="1"/>
  <c r="E227" i="105" s="1"/>
  <c r="D227" i="105" a="1"/>
  <c r="D227" i="105" s="1"/>
  <c r="F226" i="105" a="1"/>
  <c r="F226" i="105" s="1"/>
  <c r="E226" i="105" a="1"/>
  <c r="E226" i="105" s="1"/>
  <c r="D226" i="105" a="1"/>
  <c r="D226" i="105" s="1"/>
  <c r="F225" i="105" a="1"/>
  <c r="F225" i="105" s="1"/>
  <c r="E225" i="105" a="1"/>
  <c r="E225" i="105" s="1"/>
  <c r="D225" i="105" a="1"/>
  <c r="D225" i="105" s="1"/>
  <c r="F224" i="105" a="1"/>
  <c r="F224" i="105" s="1"/>
  <c r="E224" i="105" a="1"/>
  <c r="E224" i="105" s="1"/>
  <c r="D224" i="105" a="1"/>
  <c r="D224" i="105" s="1"/>
  <c r="F223" i="105" a="1"/>
  <c r="F223" i="105" s="1"/>
  <c r="E223" i="105" a="1"/>
  <c r="E223" i="105" s="1"/>
  <c r="D223" i="105" a="1"/>
  <c r="D223" i="105" s="1"/>
  <c r="F222" i="105" a="1"/>
  <c r="F222" i="105" s="1"/>
  <c r="E222" i="105" a="1"/>
  <c r="E222" i="105" s="1"/>
  <c r="D222" i="105" a="1"/>
  <c r="D222" i="105" s="1"/>
  <c r="F221" i="105" a="1"/>
  <c r="F221" i="105" s="1"/>
  <c r="E221" i="105" a="1"/>
  <c r="E221" i="105" s="1"/>
  <c r="D221" i="105" a="1"/>
  <c r="D221" i="105" s="1"/>
  <c r="F220" i="105" a="1"/>
  <c r="F220" i="105" s="1"/>
  <c r="E220" i="105" a="1"/>
  <c r="E220" i="105" s="1"/>
  <c r="D220" i="105" a="1"/>
  <c r="D220" i="105" s="1"/>
  <c r="F219" i="105" a="1"/>
  <c r="F219" i="105" s="1"/>
  <c r="E219" i="105" a="1"/>
  <c r="E219" i="105" s="1"/>
  <c r="D219" i="105" a="1"/>
  <c r="D219" i="105" s="1"/>
  <c r="F218" i="105" a="1"/>
  <c r="F218" i="105" s="1"/>
  <c r="E218" i="105" a="1"/>
  <c r="E218" i="105" s="1"/>
  <c r="D218" i="105" a="1"/>
  <c r="D218" i="105" s="1"/>
  <c r="F217" i="105" a="1"/>
  <c r="F217" i="105" s="1"/>
  <c r="E217" i="105" a="1"/>
  <c r="E217" i="105" s="1"/>
  <c r="D217" i="105" a="1"/>
  <c r="D217" i="105" s="1"/>
  <c r="F216" i="105" a="1"/>
  <c r="F216" i="105" s="1"/>
  <c r="E216" i="105" a="1"/>
  <c r="E216" i="105" s="1"/>
  <c r="D216" i="105" a="1"/>
  <c r="D216" i="105" s="1"/>
  <c r="F215" i="105" a="1"/>
  <c r="F215" i="105" s="1"/>
  <c r="E215" i="105" a="1"/>
  <c r="E215" i="105" s="1"/>
  <c r="D215" i="105" a="1"/>
  <c r="D215" i="105" s="1"/>
  <c r="F214" i="105" a="1"/>
  <c r="F214" i="105" s="1"/>
  <c r="E214" i="105" a="1"/>
  <c r="E214" i="105" s="1"/>
  <c r="D214" i="105" a="1"/>
  <c r="D214" i="105" s="1"/>
  <c r="F213" i="105" a="1"/>
  <c r="F213" i="105" s="1"/>
  <c r="E213" i="105" a="1"/>
  <c r="E213" i="105" s="1"/>
  <c r="D213" i="105" a="1"/>
  <c r="D213" i="105" s="1"/>
  <c r="F212" i="105" a="1"/>
  <c r="F212" i="105" s="1"/>
  <c r="E212" i="105" a="1"/>
  <c r="E212" i="105" s="1"/>
  <c r="D212" i="105" a="1"/>
  <c r="D212" i="105" s="1"/>
  <c r="F211" i="105" a="1"/>
  <c r="F211" i="105" s="1"/>
  <c r="E211" i="105" a="1"/>
  <c r="E211" i="105" s="1"/>
  <c r="D211" i="105" a="1"/>
  <c r="D211" i="105" s="1"/>
  <c r="F210" i="105" a="1"/>
  <c r="F210" i="105" s="1"/>
  <c r="E210" i="105" a="1"/>
  <c r="E210" i="105" s="1"/>
  <c r="D210" i="105" a="1"/>
  <c r="D210" i="105" s="1"/>
  <c r="F209" i="105" a="1"/>
  <c r="F209" i="105" s="1"/>
  <c r="E209" i="105" a="1"/>
  <c r="E209" i="105" s="1"/>
  <c r="D209" i="105" a="1"/>
  <c r="D209" i="105" s="1"/>
  <c r="F208" i="105" a="1"/>
  <c r="F208" i="105" s="1"/>
  <c r="E208" i="105" a="1"/>
  <c r="E208" i="105" s="1"/>
  <c r="D208" i="105" a="1"/>
  <c r="D208" i="105" s="1"/>
  <c r="F207" i="105" a="1"/>
  <c r="F207" i="105" s="1"/>
  <c r="E207" i="105" a="1"/>
  <c r="E207" i="105" s="1"/>
  <c r="D207" i="105" a="1"/>
  <c r="D207" i="105" s="1"/>
  <c r="F206" i="105" a="1"/>
  <c r="F206" i="105" s="1"/>
  <c r="E206" i="105" a="1"/>
  <c r="E206" i="105" s="1"/>
  <c r="D206" i="105" a="1"/>
  <c r="D206" i="105" s="1"/>
  <c r="F205" i="105" a="1"/>
  <c r="F205" i="105" s="1"/>
  <c r="E205" i="105" a="1"/>
  <c r="E205" i="105" s="1"/>
  <c r="D205" i="105" a="1"/>
  <c r="D205" i="105" s="1"/>
  <c r="F204" i="105" a="1"/>
  <c r="F204" i="105" s="1"/>
  <c r="E204" i="105" a="1"/>
  <c r="E204" i="105" s="1"/>
  <c r="D204" i="105" a="1"/>
  <c r="D204" i="105" s="1"/>
  <c r="F203" i="105" a="1"/>
  <c r="F203" i="105" s="1"/>
  <c r="E203" i="105" a="1"/>
  <c r="E203" i="105" s="1"/>
  <c r="D203" i="105" a="1"/>
  <c r="D203" i="105" s="1"/>
  <c r="F202" i="105" a="1"/>
  <c r="F202" i="105" s="1"/>
  <c r="E202" i="105" a="1"/>
  <c r="E202" i="105" s="1"/>
  <c r="D202" i="105" a="1"/>
  <c r="D202" i="105" s="1"/>
  <c r="F201" i="105" a="1"/>
  <c r="F201" i="105" s="1"/>
  <c r="E201" i="105" a="1"/>
  <c r="E201" i="105" s="1"/>
  <c r="D201" i="105" a="1"/>
  <c r="D201" i="105" s="1"/>
  <c r="F200" i="105" a="1"/>
  <c r="F200" i="105" s="1"/>
  <c r="E200" i="105" a="1"/>
  <c r="E200" i="105" s="1"/>
  <c r="D200" i="105" a="1"/>
  <c r="D200" i="105" s="1"/>
  <c r="F199" i="105" a="1"/>
  <c r="F199" i="105" s="1"/>
  <c r="E199" i="105" a="1"/>
  <c r="E199" i="105" s="1"/>
  <c r="D199" i="105" a="1"/>
  <c r="D199" i="105" s="1"/>
  <c r="F198" i="105" a="1"/>
  <c r="F198" i="105" s="1"/>
  <c r="E198" i="105" a="1"/>
  <c r="E198" i="105" s="1"/>
  <c r="D198" i="105" a="1"/>
  <c r="D198" i="105" s="1"/>
  <c r="F197" i="105" a="1"/>
  <c r="F197" i="105" s="1"/>
  <c r="E197" i="105" a="1"/>
  <c r="E197" i="105" s="1"/>
  <c r="D197" i="105" a="1"/>
  <c r="D197" i="105" s="1"/>
  <c r="F196" i="105" a="1"/>
  <c r="F196" i="105" s="1"/>
  <c r="E196" i="105" a="1"/>
  <c r="E196" i="105" s="1"/>
  <c r="D196" i="105" a="1"/>
  <c r="D196" i="105" s="1"/>
  <c r="F195" i="105" a="1"/>
  <c r="F195" i="105" s="1"/>
  <c r="E195" i="105" a="1"/>
  <c r="E195" i="105" s="1"/>
  <c r="D195" i="105" a="1"/>
  <c r="D195" i="105" s="1"/>
  <c r="F194" i="105" a="1"/>
  <c r="F194" i="105" s="1"/>
  <c r="E194" i="105" a="1"/>
  <c r="E194" i="105" s="1"/>
  <c r="D194" i="105" a="1"/>
  <c r="D194" i="105" s="1"/>
  <c r="F193" i="105" a="1"/>
  <c r="F193" i="105" s="1"/>
  <c r="E193" i="105" a="1"/>
  <c r="E193" i="105" s="1"/>
  <c r="D193" i="105" a="1"/>
  <c r="D193" i="105" s="1"/>
  <c r="F192" i="105" a="1"/>
  <c r="F192" i="105" s="1"/>
  <c r="E192" i="105" a="1"/>
  <c r="E192" i="105" s="1"/>
  <c r="D192" i="105" a="1"/>
  <c r="D192" i="105" s="1"/>
  <c r="F191" i="105" a="1"/>
  <c r="F191" i="105" s="1"/>
  <c r="E191" i="105" a="1"/>
  <c r="E191" i="105" s="1"/>
  <c r="D191" i="105" a="1"/>
  <c r="D191" i="105" s="1"/>
  <c r="F190" i="105" a="1"/>
  <c r="F190" i="105" s="1"/>
  <c r="E190" i="105" a="1"/>
  <c r="E190" i="105" s="1"/>
  <c r="D190" i="105" a="1"/>
  <c r="D190" i="105" s="1"/>
  <c r="F189" i="105" a="1"/>
  <c r="F189" i="105" s="1"/>
  <c r="E189" i="105" a="1"/>
  <c r="E189" i="105" s="1"/>
  <c r="D189" i="105" a="1"/>
  <c r="D189" i="105" s="1"/>
  <c r="F188" i="105" a="1"/>
  <c r="F188" i="105" s="1"/>
  <c r="E188" i="105" a="1"/>
  <c r="E188" i="105" s="1"/>
  <c r="D188" i="105" a="1"/>
  <c r="D188" i="105" s="1"/>
  <c r="F187" i="105" a="1"/>
  <c r="F187" i="105" s="1"/>
  <c r="E187" i="105" a="1"/>
  <c r="E187" i="105" s="1"/>
  <c r="D187" i="105" a="1"/>
  <c r="D187" i="105" s="1"/>
  <c r="F186" i="105" a="1"/>
  <c r="F186" i="105" s="1"/>
  <c r="E186" i="105" a="1"/>
  <c r="E186" i="105" s="1"/>
  <c r="D186" i="105" a="1"/>
  <c r="D186" i="105" s="1"/>
  <c r="F185" i="105" a="1"/>
  <c r="F185" i="105" s="1"/>
  <c r="E185" i="105" a="1"/>
  <c r="E185" i="105" s="1"/>
  <c r="D185" i="105" a="1"/>
  <c r="D185" i="105" s="1"/>
  <c r="F184" i="105" a="1"/>
  <c r="F184" i="105" s="1"/>
  <c r="E184" i="105" a="1"/>
  <c r="E184" i="105" s="1"/>
  <c r="D184" i="105" a="1"/>
  <c r="D184" i="105" s="1"/>
  <c r="F183" i="105" a="1"/>
  <c r="F183" i="105" s="1"/>
  <c r="E183" i="105" a="1"/>
  <c r="E183" i="105" s="1"/>
  <c r="D183" i="105" a="1"/>
  <c r="D183" i="105" s="1"/>
  <c r="F182" i="105" a="1"/>
  <c r="F182" i="105" s="1"/>
  <c r="E182" i="105" a="1"/>
  <c r="E182" i="105" s="1"/>
  <c r="D182" i="105" a="1"/>
  <c r="D182" i="105" s="1"/>
  <c r="F181" i="105" a="1"/>
  <c r="F181" i="105" s="1"/>
  <c r="E181" i="105" a="1"/>
  <c r="E181" i="105" s="1"/>
  <c r="D181" i="105" a="1"/>
  <c r="D181" i="105" s="1"/>
  <c r="F180" i="105" a="1"/>
  <c r="F180" i="105" s="1"/>
  <c r="E180" i="105" a="1"/>
  <c r="E180" i="105" s="1"/>
  <c r="D180" i="105" a="1"/>
  <c r="D180" i="105" s="1"/>
  <c r="F179" i="105" a="1"/>
  <c r="F179" i="105" s="1"/>
  <c r="E179" i="105" a="1"/>
  <c r="E179" i="105" s="1"/>
  <c r="D179" i="105" a="1"/>
  <c r="D179" i="105" s="1"/>
  <c r="F178" i="105" a="1"/>
  <c r="F178" i="105" s="1"/>
  <c r="E178" i="105" a="1"/>
  <c r="E178" i="105" s="1"/>
  <c r="D178" i="105" a="1"/>
  <c r="D178" i="105" s="1"/>
  <c r="F177" i="105" a="1"/>
  <c r="F177" i="105" s="1"/>
  <c r="E177" i="105" a="1"/>
  <c r="E177" i="105" s="1"/>
  <c r="D177" i="105" a="1"/>
  <c r="D177" i="105" s="1"/>
  <c r="F176" i="105" a="1"/>
  <c r="F176" i="105" s="1"/>
  <c r="E176" i="105" a="1"/>
  <c r="E176" i="105" s="1"/>
  <c r="D176" i="105" a="1"/>
  <c r="D176" i="105" s="1"/>
  <c r="F175" i="105" a="1"/>
  <c r="F175" i="105" s="1"/>
  <c r="E175" i="105" a="1"/>
  <c r="E175" i="105" s="1"/>
  <c r="D175" i="105" a="1"/>
  <c r="D175" i="105" s="1"/>
  <c r="F174" i="105" a="1"/>
  <c r="F174" i="105" s="1"/>
  <c r="E174" i="105" a="1"/>
  <c r="E174" i="105" s="1"/>
  <c r="D174" i="105" a="1"/>
  <c r="D174" i="105" s="1"/>
  <c r="F173" i="105" a="1"/>
  <c r="F173" i="105" s="1"/>
  <c r="E173" i="105" a="1"/>
  <c r="E173" i="105" s="1"/>
  <c r="D173" i="105" a="1"/>
  <c r="D173" i="105" s="1"/>
  <c r="F172" i="105" a="1"/>
  <c r="F172" i="105" s="1"/>
  <c r="E172" i="105" a="1"/>
  <c r="E172" i="105" s="1"/>
  <c r="D172" i="105" a="1"/>
  <c r="D172" i="105" s="1"/>
  <c r="F171" i="105" a="1"/>
  <c r="F171" i="105" s="1"/>
  <c r="E171" i="105" a="1"/>
  <c r="E171" i="105" s="1"/>
  <c r="D171" i="105" a="1"/>
  <c r="D171" i="105" s="1"/>
  <c r="F170" i="105" a="1"/>
  <c r="F170" i="105" s="1"/>
  <c r="E170" i="105" a="1"/>
  <c r="E170" i="105" s="1"/>
  <c r="D170" i="105" a="1"/>
  <c r="D170" i="105" s="1"/>
  <c r="F169" i="105" a="1"/>
  <c r="F169" i="105" s="1"/>
  <c r="E169" i="105" a="1"/>
  <c r="E169" i="105" s="1"/>
  <c r="D169" i="105" a="1"/>
  <c r="D169" i="105" s="1"/>
  <c r="F168" i="105" a="1"/>
  <c r="F168" i="105" s="1"/>
  <c r="E168" i="105" a="1"/>
  <c r="E168" i="105" s="1"/>
  <c r="D168" i="105" a="1"/>
  <c r="D168" i="105" s="1"/>
  <c r="F167" i="105" a="1"/>
  <c r="F167" i="105" s="1"/>
  <c r="E167" i="105" a="1"/>
  <c r="E167" i="105" s="1"/>
  <c r="D167" i="105" a="1"/>
  <c r="D167" i="105" s="1"/>
  <c r="F166" i="105" a="1"/>
  <c r="F166" i="105" s="1"/>
  <c r="E166" i="105" a="1"/>
  <c r="E166" i="105" s="1"/>
  <c r="D166" i="105" a="1"/>
  <c r="D166" i="105" s="1"/>
  <c r="F165" i="105" a="1"/>
  <c r="F165" i="105" s="1"/>
  <c r="E165" i="105" a="1"/>
  <c r="E165" i="105" s="1"/>
  <c r="D165" i="105" a="1"/>
  <c r="D165" i="105" s="1"/>
  <c r="F164" i="105" a="1"/>
  <c r="F164" i="105" s="1"/>
  <c r="E164" i="105" a="1"/>
  <c r="E164" i="105" s="1"/>
  <c r="D164" i="105" a="1"/>
  <c r="D164" i="105" s="1"/>
  <c r="F163" i="105" a="1"/>
  <c r="F163" i="105" s="1"/>
  <c r="E163" i="105" a="1"/>
  <c r="E163" i="105" s="1"/>
  <c r="D163" i="105" a="1"/>
  <c r="D163" i="105" s="1"/>
  <c r="F162" i="105" a="1"/>
  <c r="F162" i="105" s="1"/>
  <c r="E162" i="105" a="1"/>
  <c r="E162" i="105" s="1"/>
  <c r="D162" i="105" a="1"/>
  <c r="D162" i="105" s="1"/>
  <c r="F161" i="105" a="1"/>
  <c r="F161" i="105" s="1"/>
  <c r="E161" i="105" a="1"/>
  <c r="E161" i="105" s="1"/>
  <c r="D161" i="105" a="1"/>
  <c r="D161" i="105" s="1"/>
  <c r="F160" i="105" a="1"/>
  <c r="F160" i="105" s="1"/>
  <c r="E160" i="105" a="1"/>
  <c r="E160" i="105" s="1"/>
  <c r="D160" i="105" a="1"/>
  <c r="D160" i="105" s="1"/>
  <c r="F159" i="105" a="1"/>
  <c r="F159" i="105" s="1"/>
  <c r="E159" i="105" a="1"/>
  <c r="E159" i="105" s="1"/>
  <c r="D159" i="105" a="1"/>
  <c r="D159" i="105" s="1"/>
  <c r="F158" i="105" a="1"/>
  <c r="F158" i="105" s="1"/>
  <c r="E158" i="105" a="1"/>
  <c r="E158" i="105" s="1"/>
  <c r="D158" i="105" a="1"/>
  <c r="D158" i="105" s="1"/>
  <c r="F157" i="105" a="1"/>
  <c r="F157" i="105" s="1"/>
  <c r="E157" i="105" a="1"/>
  <c r="E157" i="105" s="1"/>
  <c r="D157" i="105" a="1"/>
  <c r="D157" i="105" s="1"/>
  <c r="F156" i="105" a="1"/>
  <c r="F156" i="105" s="1"/>
  <c r="E156" i="105" a="1"/>
  <c r="E156" i="105" s="1"/>
  <c r="D156" i="105" a="1"/>
  <c r="D156" i="105" s="1"/>
  <c r="F155" i="105" a="1"/>
  <c r="F155" i="105" s="1"/>
  <c r="E155" i="105" a="1"/>
  <c r="E155" i="105" s="1"/>
  <c r="D155" i="105" a="1"/>
  <c r="D155" i="105" s="1"/>
  <c r="F154" i="105" a="1"/>
  <c r="F154" i="105" s="1"/>
  <c r="E154" i="105" a="1"/>
  <c r="E154" i="105" s="1"/>
  <c r="D154" i="105" a="1"/>
  <c r="D154" i="105" s="1"/>
  <c r="F153" i="105" a="1"/>
  <c r="F153" i="105" s="1"/>
  <c r="E153" i="105" a="1"/>
  <c r="E153" i="105" s="1"/>
  <c r="D153" i="105" a="1"/>
  <c r="D153" i="105" s="1"/>
  <c r="F152" i="105" a="1"/>
  <c r="F152" i="105" s="1"/>
  <c r="E152" i="105" a="1"/>
  <c r="E152" i="105" s="1"/>
  <c r="D152" i="105" a="1"/>
  <c r="D152" i="105" s="1"/>
  <c r="F151" i="105" a="1"/>
  <c r="F151" i="105" s="1"/>
  <c r="E151" i="105" a="1"/>
  <c r="E151" i="105" s="1"/>
  <c r="D151" i="105" a="1"/>
  <c r="D151" i="105" s="1"/>
  <c r="F150" i="105" a="1"/>
  <c r="F150" i="105" s="1"/>
  <c r="E150" i="105" a="1"/>
  <c r="E150" i="105" s="1"/>
  <c r="D150" i="105" a="1"/>
  <c r="D150" i="105" s="1"/>
  <c r="F149" i="105" a="1"/>
  <c r="F149" i="105" s="1"/>
  <c r="E149" i="105" a="1"/>
  <c r="E149" i="105" s="1"/>
  <c r="D149" i="105" a="1"/>
  <c r="D149" i="105" s="1"/>
  <c r="F148" i="105" a="1"/>
  <c r="F148" i="105" s="1"/>
  <c r="E148" i="105" a="1"/>
  <c r="E148" i="105" s="1"/>
  <c r="D148" i="105" a="1"/>
  <c r="D148" i="105" s="1"/>
  <c r="F147" i="105" a="1"/>
  <c r="F147" i="105" s="1"/>
  <c r="E147" i="105" a="1"/>
  <c r="E147" i="105" s="1"/>
  <c r="D147" i="105" a="1"/>
  <c r="D147" i="105" s="1"/>
  <c r="F146" i="105" a="1"/>
  <c r="F146" i="105" s="1"/>
  <c r="E146" i="105" a="1"/>
  <c r="E146" i="105" s="1"/>
  <c r="D146" i="105" a="1"/>
  <c r="D146" i="105" s="1"/>
  <c r="F145" i="105" a="1"/>
  <c r="F145" i="105" s="1"/>
  <c r="E145" i="105" a="1"/>
  <c r="E145" i="105" s="1"/>
  <c r="D145" i="105" a="1"/>
  <c r="D145" i="105" s="1"/>
  <c r="F144" i="105" a="1"/>
  <c r="F144" i="105" s="1"/>
  <c r="E144" i="105" a="1"/>
  <c r="E144" i="105" s="1"/>
  <c r="D144" i="105" a="1"/>
  <c r="D144" i="105" s="1"/>
  <c r="F143" i="105" a="1"/>
  <c r="F143" i="105" s="1"/>
  <c r="E143" i="105" a="1"/>
  <c r="E143" i="105" s="1"/>
  <c r="D143" i="105" a="1"/>
  <c r="D143" i="105" s="1"/>
  <c r="F142" i="105" a="1"/>
  <c r="F142" i="105" s="1"/>
  <c r="E142" i="105" a="1"/>
  <c r="E142" i="105" s="1"/>
  <c r="D142" i="105" a="1"/>
  <c r="D142" i="105" s="1"/>
  <c r="F141" i="105" a="1"/>
  <c r="F141" i="105" s="1"/>
  <c r="E141" i="105" a="1"/>
  <c r="E141" i="105" s="1"/>
  <c r="D141" i="105" a="1"/>
  <c r="D141" i="105" s="1"/>
  <c r="F140" i="105" a="1"/>
  <c r="F140" i="105" s="1"/>
  <c r="E140" i="105" a="1"/>
  <c r="E140" i="105" s="1"/>
  <c r="D140" i="105" a="1"/>
  <c r="D140" i="105" s="1"/>
  <c r="F139" i="105" a="1"/>
  <c r="F139" i="105" s="1"/>
  <c r="E139" i="105" a="1"/>
  <c r="E139" i="105" s="1"/>
  <c r="D139" i="105" a="1"/>
  <c r="D139" i="105" s="1"/>
  <c r="F138" i="105" a="1"/>
  <c r="F138" i="105" s="1"/>
  <c r="E138" i="105" a="1"/>
  <c r="E138" i="105" s="1"/>
  <c r="D138" i="105" a="1"/>
  <c r="D138" i="105" s="1"/>
  <c r="F137" i="105" a="1"/>
  <c r="F137" i="105" s="1"/>
  <c r="E137" i="105" a="1"/>
  <c r="E137" i="105" s="1"/>
  <c r="D137" i="105" a="1"/>
  <c r="D137" i="105" s="1"/>
  <c r="F136" i="105" a="1"/>
  <c r="F136" i="105" s="1"/>
  <c r="E136" i="105" a="1"/>
  <c r="E136" i="105" s="1"/>
  <c r="D136" i="105" a="1"/>
  <c r="D136" i="105" s="1"/>
  <c r="F135" i="105" a="1"/>
  <c r="F135" i="105" s="1"/>
  <c r="E135" i="105" a="1"/>
  <c r="E135" i="105" s="1"/>
  <c r="D135" i="105" a="1"/>
  <c r="D135" i="105" s="1"/>
  <c r="F134" i="105" a="1"/>
  <c r="F134" i="105" s="1"/>
  <c r="E134" i="105" a="1"/>
  <c r="E134" i="105" s="1"/>
  <c r="D134" i="105" a="1"/>
  <c r="D134" i="105" s="1"/>
  <c r="F133" i="105" a="1"/>
  <c r="F133" i="105" s="1"/>
  <c r="E133" i="105" a="1"/>
  <c r="E133" i="105" s="1"/>
  <c r="D133" i="105" a="1"/>
  <c r="D133" i="105" s="1"/>
  <c r="F132" i="105" a="1"/>
  <c r="F132" i="105" s="1"/>
  <c r="E132" i="105" a="1"/>
  <c r="E132" i="105" s="1"/>
  <c r="D132" i="105" a="1"/>
  <c r="D132" i="105" s="1"/>
  <c r="F131" i="105" a="1"/>
  <c r="F131" i="105" s="1"/>
  <c r="E131" i="105" a="1"/>
  <c r="E131" i="105" s="1"/>
  <c r="D131" i="105" a="1"/>
  <c r="D131" i="105" s="1"/>
  <c r="F130" i="105" a="1"/>
  <c r="F130" i="105" s="1"/>
  <c r="E130" i="105" a="1"/>
  <c r="E130" i="105" s="1"/>
  <c r="D130" i="105" a="1"/>
  <c r="D130" i="105" s="1"/>
  <c r="F129" i="105" a="1"/>
  <c r="F129" i="105" s="1"/>
  <c r="E129" i="105" a="1"/>
  <c r="E129" i="105" s="1"/>
  <c r="D129" i="105" a="1"/>
  <c r="D129" i="105" s="1"/>
  <c r="F128" i="105" a="1"/>
  <c r="F128" i="105" s="1"/>
  <c r="E128" i="105" a="1"/>
  <c r="E128" i="105" s="1"/>
  <c r="D128" i="105" a="1"/>
  <c r="D128" i="105" s="1"/>
  <c r="F127" i="105" a="1"/>
  <c r="F127" i="105" s="1"/>
  <c r="E127" i="105" a="1"/>
  <c r="E127" i="105" s="1"/>
  <c r="D127" i="105" a="1"/>
  <c r="D127" i="105" s="1"/>
  <c r="F126" i="105" a="1"/>
  <c r="F126" i="105" s="1"/>
  <c r="E126" i="105" a="1"/>
  <c r="E126" i="105" s="1"/>
  <c r="D126" i="105" a="1"/>
  <c r="D126" i="105" s="1"/>
  <c r="F125" i="105" a="1"/>
  <c r="F125" i="105" s="1"/>
  <c r="E125" i="105" a="1"/>
  <c r="E125" i="105" s="1"/>
  <c r="D125" i="105" a="1"/>
  <c r="D125" i="105" s="1"/>
  <c r="F124" i="105" a="1"/>
  <c r="F124" i="105" s="1"/>
  <c r="E124" i="105" a="1"/>
  <c r="E124" i="105" s="1"/>
  <c r="D124" i="105" a="1"/>
  <c r="D124" i="105" s="1"/>
  <c r="F123" i="105" a="1"/>
  <c r="F123" i="105" s="1"/>
  <c r="E123" i="105" a="1"/>
  <c r="E123" i="105" s="1"/>
  <c r="D123" i="105" a="1"/>
  <c r="D123" i="105" s="1"/>
  <c r="F122" i="105" a="1"/>
  <c r="F122" i="105" s="1"/>
  <c r="E122" i="105" a="1"/>
  <c r="E122" i="105" s="1"/>
  <c r="D122" i="105" a="1"/>
  <c r="D122" i="105" s="1"/>
  <c r="F121" i="105" a="1"/>
  <c r="F121" i="105" s="1"/>
  <c r="E121" i="105" a="1"/>
  <c r="E121" i="105" s="1"/>
  <c r="D121" i="105" a="1"/>
  <c r="D121" i="105" s="1"/>
  <c r="F120" i="105" a="1"/>
  <c r="F120" i="105" s="1"/>
  <c r="E120" i="105" a="1"/>
  <c r="E120" i="105" s="1"/>
  <c r="D120" i="105" a="1"/>
  <c r="D120" i="105" s="1"/>
  <c r="F119" i="105" a="1"/>
  <c r="F119" i="105" s="1"/>
  <c r="E119" i="105" a="1"/>
  <c r="E119" i="105" s="1"/>
  <c r="D119" i="105" a="1"/>
  <c r="D119" i="105" s="1"/>
  <c r="F118" i="105" a="1"/>
  <c r="F118" i="105" s="1"/>
  <c r="E118" i="105" a="1"/>
  <c r="E118" i="105" s="1"/>
  <c r="D118" i="105" a="1"/>
  <c r="D118" i="105" s="1"/>
  <c r="F117" i="105" a="1"/>
  <c r="F117" i="105" s="1"/>
  <c r="E117" i="105" a="1"/>
  <c r="E117" i="105" s="1"/>
  <c r="D117" i="105" a="1"/>
  <c r="D117" i="105" s="1"/>
  <c r="F116" i="105" a="1"/>
  <c r="F116" i="105" s="1"/>
  <c r="E116" i="105" a="1"/>
  <c r="E116" i="105" s="1"/>
  <c r="D116" i="105" a="1"/>
  <c r="D116" i="105" s="1"/>
  <c r="F115" i="105" a="1"/>
  <c r="F115" i="105" s="1"/>
  <c r="E115" i="105" a="1"/>
  <c r="E115" i="105" s="1"/>
  <c r="D115" i="105" a="1"/>
  <c r="D115" i="105" s="1"/>
  <c r="F114" i="105" a="1"/>
  <c r="F114" i="105" s="1"/>
  <c r="E114" i="105" a="1"/>
  <c r="E114" i="105" s="1"/>
  <c r="D114" i="105" a="1"/>
  <c r="D114" i="105" s="1"/>
  <c r="F113" i="105" a="1"/>
  <c r="F113" i="105" s="1"/>
  <c r="E113" i="105" a="1"/>
  <c r="E113" i="105" s="1"/>
  <c r="D113" i="105" a="1"/>
  <c r="D113" i="105" s="1"/>
  <c r="F112" i="105" a="1"/>
  <c r="F112" i="105" s="1"/>
  <c r="E112" i="105" a="1"/>
  <c r="E112" i="105" s="1"/>
  <c r="D112" i="105" a="1"/>
  <c r="D112" i="105" s="1"/>
  <c r="F111" i="105" a="1"/>
  <c r="F111" i="105" s="1"/>
  <c r="E111" i="105" a="1"/>
  <c r="E111" i="105" s="1"/>
  <c r="D111" i="105" a="1"/>
  <c r="D111" i="105" s="1"/>
  <c r="F110" i="105" a="1"/>
  <c r="F110" i="105" s="1"/>
  <c r="E110" i="105" a="1"/>
  <c r="E110" i="105" s="1"/>
  <c r="D110" i="105" a="1"/>
  <c r="D110" i="105" s="1"/>
  <c r="F109" i="105" a="1"/>
  <c r="F109" i="105" s="1"/>
  <c r="E109" i="105" a="1"/>
  <c r="E109" i="105" s="1"/>
  <c r="D109" i="105" a="1"/>
  <c r="D109" i="105" s="1"/>
  <c r="F108" i="105" a="1"/>
  <c r="F108" i="105" s="1"/>
  <c r="E108" i="105" a="1"/>
  <c r="E108" i="105" s="1"/>
  <c r="D108" i="105" a="1"/>
  <c r="D108" i="105" s="1"/>
  <c r="F107" i="105" a="1"/>
  <c r="F107" i="105" s="1"/>
  <c r="E107" i="105" a="1"/>
  <c r="E107" i="105" s="1"/>
  <c r="D107" i="105" a="1"/>
  <c r="D107" i="105" s="1"/>
  <c r="F106" i="105" a="1"/>
  <c r="F106" i="105" s="1"/>
  <c r="E106" i="105" a="1"/>
  <c r="E106" i="105" s="1"/>
  <c r="D106" i="105" a="1"/>
  <c r="D106" i="105" s="1"/>
  <c r="F105" i="105" a="1"/>
  <c r="F105" i="105" s="1"/>
  <c r="E105" i="105" a="1"/>
  <c r="E105" i="105" s="1"/>
  <c r="D105" i="105" a="1"/>
  <c r="D105" i="105" s="1"/>
  <c r="F104" i="105" a="1"/>
  <c r="F104" i="105" s="1"/>
  <c r="E104" i="105" a="1"/>
  <c r="E104" i="105" s="1"/>
  <c r="D104" i="105" a="1"/>
  <c r="D104" i="105" s="1"/>
  <c r="F103" i="105" a="1"/>
  <c r="F103" i="105" s="1"/>
  <c r="E103" i="105" a="1"/>
  <c r="E103" i="105" s="1"/>
  <c r="D103" i="105" a="1"/>
  <c r="D103" i="105" s="1"/>
  <c r="F102" i="105" a="1"/>
  <c r="F102" i="105" s="1"/>
  <c r="E102" i="105" a="1"/>
  <c r="E102" i="105" s="1"/>
  <c r="D102" i="105" a="1"/>
  <c r="D102" i="105" s="1"/>
  <c r="F101" i="105" a="1"/>
  <c r="F101" i="105" s="1"/>
  <c r="E101" i="105" a="1"/>
  <c r="E101" i="105" s="1"/>
  <c r="D101" i="105" a="1"/>
  <c r="D101" i="105" s="1"/>
  <c r="F100" i="105" a="1"/>
  <c r="F100" i="105" s="1"/>
  <c r="E100" i="105" a="1"/>
  <c r="E100" i="105" s="1"/>
  <c r="D100" i="105" a="1"/>
  <c r="D100" i="105" s="1"/>
  <c r="F99" i="105" a="1"/>
  <c r="F99" i="105" s="1"/>
  <c r="E99" i="105" a="1"/>
  <c r="E99" i="105" s="1"/>
  <c r="D99" i="105" a="1"/>
  <c r="D99" i="105" s="1"/>
  <c r="F98" i="105" a="1"/>
  <c r="F98" i="105" s="1"/>
  <c r="E98" i="105" a="1"/>
  <c r="E98" i="105" s="1"/>
  <c r="D98" i="105" a="1"/>
  <c r="D98" i="105" s="1"/>
  <c r="F97" i="105" a="1"/>
  <c r="F97" i="105" s="1"/>
  <c r="E97" i="105" a="1"/>
  <c r="E97" i="105" s="1"/>
  <c r="D97" i="105" a="1"/>
  <c r="D97" i="105" s="1"/>
  <c r="F96" i="105" a="1"/>
  <c r="F96" i="105" s="1"/>
  <c r="E96" i="105" a="1"/>
  <c r="E96" i="105" s="1"/>
  <c r="D96" i="105" a="1"/>
  <c r="D96" i="105" s="1"/>
  <c r="F95" i="105" a="1"/>
  <c r="F95" i="105" s="1"/>
  <c r="E95" i="105" a="1"/>
  <c r="E95" i="105" s="1"/>
  <c r="D95" i="105" a="1"/>
  <c r="D95" i="105" s="1"/>
  <c r="F94" i="105" a="1"/>
  <c r="F94" i="105" s="1"/>
  <c r="E94" i="105" a="1"/>
  <c r="E94" i="105" s="1"/>
  <c r="D94" i="105" a="1"/>
  <c r="D94" i="105" s="1"/>
  <c r="F93" i="105" a="1"/>
  <c r="F93" i="105" s="1"/>
  <c r="E93" i="105" a="1"/>
  <c r="E93" i="105" s="1"/>
  <c r="D93" i="105" a="1"/>
  <c r="D93" i="105" s="1"/>
  <c r="D91" i="105" a="1"/>
  <c r="D91" i="105" s="1"/>
  <c r="F89" i="105" a="1"/>
  <c r="F89" i="105" s="1"/>
  <c r="E89" i="105" a="1"/>
  <c r="E89" i="105" s="1"/>
  <c r="D89" i="105" a="1"/>
  <c r="D89" i="105" s="1"/>
  <c r="F88" i="105" a="1"/>
  <c r="F88" i="105" s="1"/>
  <c r="E88" i="105" a="1"/>
  <c r="E88" i="105" s="1"/>
  <c r="D88" i="105" a="1"/>
  <c r="D88" i="105" s="1"/>
  <c r="F87" i="105" a="1"/>
  <c r="F87" i="105" s="1"/>
  <c r="E87" i="105" a="1"/>
  <c r="E87" i="105" s="1"/>
  <c r="D87" i="105" a="1"/>
  <c r="D87" i="105" s="1"/>
  <c r="F86" i="105" a="1"/>
  <c r="F86" i="105" s="1"/>
  <c r="E86" i="105" a="1"/>
  <c r="E86" i="105" s="1"/>
  <c r="D86" i="105" a="1"/>
  <c r="D86" i="105" s="1"/>
  <c r="F85" i="105" a="1"/>
  <c r="F85" i="105" s="1"/>
  <c r="E85" i="105" a="1"/>
  <c r="E85" i="105" s="1"/>
  <c r="D85" i="105" a="1"/>
  <c r="D85" i="105" s="1"/>
  <c r="F84" i="105" a="1"/>
  <c r="F84" i="105" s="1"/>
  <c r="E84" i="105" a="1"/>
  <c r="E84" i="105" s="1"/>
  <c r="D84" i="105" a="1"/>
  <c r="D84" i="105" s="1"/>
  <c r="F83" i="105" a="1"/>
  <c r="F83" i="105" s="1"/>
  <c r="E83" i="105" a="1"/>
  <c r="E83" i="105" s="1"/>
  <c r="D83" i="105" a="1"/>
  <c r="D83" i="105" s="1"/>
  <c r="F82" i="105" a="1"/>
  <c r="F82" i="105" s="1"/>
  <c r="E82" i="105" a="1"/>
  <c r="E82" i="105" s="1"/>
  <c r="D82" i="105" a="1"/>
  <c r="D82" i="105" s="1"/>
  <c r="F81" i="105" a="1"/>
  <c r="F81" i="105" s="1"/>
  <c r="E81" i="105" a="1"/>
  <c r="E81" i="105" s="1"/>
  <c r="D81" i="105" a="1"/>
  <c r="D81" i="105" s="1"/>
  <c r="F80" i="105" a="1"/>
  <c r="F80" i="105" s="1"/>
  <c r="E80" i="105" a="1"/>
  <c r="E80" i="105" s="1"/>
  <c r="D80" i="105" a="1"/>
  <c r="D80" i="105" s="1"/>
  <c r="F79" i="105" a="1"/>
  <c r="F79" i="105" s="1"/>
  <c r="E79" i="105" a="1"/>
  <c r="E79" i="105" s="1"/>
  <c r="D79" i="105" a="1"/>
  <c r="D79" i="105" s="1"/>
  <c r="F78" i="105" a="1"/>
  <c r="F78" i="105" s="1"/>
  <c r="E78" i="105" a="1"/>
  <c r="E78" i="105" s="1"/>
  <c r="D78" i="105" a="1"/>
  <c r="D78" i="105" s="1"/>
  <c r="F77" i="105" a="1"/>
  <c r="F77" i="105" s="1"/>
  <c r="E77" i="105" a="1"/>
  <c r="E77" i="105" s="1"/>
  <c r="D77" i="105" a="1"/>
  <c r="D77" i="105" s="1"/>
  <c r="F76" i="105" a="1"/>
  <c r="F76" i="105" s="1"/>
  <c r="E76" i="105" a="1"/>
  <c r="E76" i="105" s="1"/>
  <c r="D76" i="105" a="1"/>
  <c r="D76" i="105" s="1"/>
  <c r="F75" i="105" a="1"/>
  <c r="F75" i="105" s="1"/>
  <c r="E75" i="105" a="1"/>
  <c r="E75" i="105" s="1"/>
  <c r="D75" i="105" a="1"/>
  <c r="D75" i="105" s="1"/>
  <c r="F74" i="105" a="1"/>
  <c r="F74" i="105" s="1"/>
  <c r="E74" i="105" a="1"/>
  <c r="E74" i="105" s="1"/>
  <c r="D74" i="105" a="1"/>
  <c r="D74" i="105" s="1"/>
  <c r="D71" i="105" a="1"/>
  <c r="D71" i="105" s="1"/>
  <c r="D70" i="105" a="1"/>
  <c r="D70" i="105" s="1"/>
  <c r="F67" i="105" a="1"/>
  <c r="F67" i="105" s="1"/>
  <c r="E67" i="105" a="1"/>
  <c r="E67" i="105" s="1"/>
  <c r="D67" i="105" a="1"/>
  <c r="D67" i="105" s="1"/>
  <c r="F66" i="105" a="1"/>
  <c r="F66" i="105" s="1"/>
  <c r="E66" i="105" a="1"/>
  <c r="E66" i="105" s="1"/>
  <c r="D66" i="105" a="1"/>
  <c r="D66" i="105" s="1"/>
  <c r="F65" i="105" a="1"/>
  <c r="F65" i="105" s="1"/>
  <c r="E65" i="105" a="1"/>
  <c r="E65" i="105" s="1"/>
  <c r="D65" i="105" a="1"/>
  <c r="D65" i="105" s="1"/>
  <c r="F64" i="105" a="1"/>
  <c r="F64" i="105" s="1"/>
  <c r="E64" i="105" a="1"/>
  <c r="E64" i="105" s="1"/>
  <c r="D64" i="105" a="1"/>
  <c r="D64" i="105" s="1"/>
  <c r="F63" i="105" a="1"/>
  <c r="F63" i="105" s="1"/>
  <c r="E63" i="105" a="1"/>
  <c r="E63" i="105" s="1"/>
  <c r="D63" i="105" a="1"/>
  <c r="D63" i="105" s="1"/>
  <c r="D60" i="105" a="1"/>
  <c r="D60" i="105" s="1"/>
  <c r="D59" i="105" a="1"/>
  <c r="D59" i="105" s="1"/>
  <c r="I56" i="105" a="1"/>
  <c r="I56" i="105" s="1"/>
  <c r="H56" i="105" a="1"/>
  <c r="H56" i="105" s="1"/>
  <c r="G56" i="105" a="1"/>
  <c r="G56" i="105" s="1"/>
  <c r="F56" i="105" a="1"/>
  <c r="F56" i="105" s="1"/>
  <c r="E56" i="105" a="1"/>
  <c r="E56" i="105" s="1"/>
  <c r="D56" i="105" a="1"/>
  <c r="D56" i="105" s="1"/>
  <c r="I55" i="105" a="1"/>
  <c r="I55" i="105" s="1"/>
  <c r="H55" i="105" a="1"/>
  <c r="H55" i="105" s="1"/>
  <c r="G55" i="105" a="1"/>
  <c r="G55" i="105" s="1"/>
  <c r="F55" i="105" a="1"/>
  <c r="F55" i="105" s="1"/>
  <c r="E55" i="105" a="1"/>
  <c r="E55" i="105" s="1"/>
  <c r="D55" i="105" a="1"/>
  <c r="D55" i="105" s="1"/>
  <c r="I54" i="105" a="1"/>
  <c r="I54" i="105" s="1"/>
  <c r="H54" i="105" a="1"/>
  <c r="H54" i="105" s="1"/>
  <c r="G54" i="105" a="1"/>
  <c r="G54" i="105" s="1"/>
  <c r="F54" i="105" a="1"/>
  <c r="F54" i="105" s="1"/>
  <c r="E54" i="105" a="1"/>
  <c r="E54" i="105" s="1"/>
  <c r="D54" i="105" a="1"/>
  <c r="D54" i="105" s="1"/>
  <c r="I53" i="105" a="1"/>
  <c r="I53" i="105" s="1"/>
  <c r="H53" i="105" a="1"/>
  <c r="H53" i="105" s="1"/>
  <c r="G53" i="105" a="1"/>
  <c r="G53" i="105" s="1"/>
  <c r="F53" i="105" a="1"/>
  <c r="F53" i="105" s="1"/>
  <c r="E53" i="105" a="1"/>
  <c r="E53" i="105" s="1"/>
  <c r="D53" i="105" a="1"/>
  <c r="D53" i="105" s="1"/>
  <c r="I52" i="105" a="1"/>
  <c r="I52" i="105" s="1"/>
  <c r="H52" i="105" a="1"/>
  <c r="H52" i="105" s="1"/>
  <c r="G52" i="105" a="1"/>
  <c r="G52" i="105" s="1"/>
  <c r="F52" i="105" a="1"/>
  <c r="F52" i="105" s="1"/>
  <c r="E52" i="105" a="1"/>
  <c r="E52" i="105" s="1"/>
  <c r="D52" i="105" a="1"/>
  <c r="D52" i="105" s="1"/>
  <c r="E19" i="102" s="1"/>
  <c r="D49" i="105" a="1"/>
  <c r="D49" i="105" s="1"/>
  <c r="D48" i="105" a="1"/>
  <c r="D48" i="105" s="1"/>
  <c r="E45" i="105" a="1"/>
  <c r="E45" i="105" s="1"/>
  <c r="D45" i="105" a="1"/>
  <c r="D45" i="105" s="1"/>
  <c r="E44" i="105" a="1"/>
  <c r="E44" i="105" s="1"/>
  <c r="D44" i="105" a="1"/>
  <c r="D44" i="105" s="1"/>
  <c r="D41" i="105" a="1"/>
  <c r="D41" i="105" s="1"/>
  <c r="D40" i="105" a="1"/>
  <c r="D40" i="105" s="1"/>
  <c r="L37" i="105" a="1"/>
  <c r="L37" i="105" s="1"/>
  <c r="K37" i="105" a="1"/>
  <c r="K37" i="105" s="1"/>
  <c r="J37" i="105" a="1"/>
  <c r="J37" i="105" s="1"/>
  <c r="I37" i="105" a="1"/>
  <c r="I37" i="105" s="1"/>
  <c r="H37" i="105" a="1"/>
  <c r="H37" i="105" s="1"/>
  <c r="G37" i="105" a="1"/>
  <c r="G37" i="105" s="1"/>
  <c r="F37" i="105" a="1"/>
  <c r="F37" i="105" s="1"/>
  <c r="E37" i="105" a="1"/>
  <c r="E37" i="105" s="1"/>
  <c r="D37" i="105" a="1"/>
  <c r="D37" i="105" s="1"/>
  <c r="L36" i="105" a="1"/>
  <c r="L36" i="105" s="1"/>
  <c r="K36" i="105" a="1"/>
  <c r="K36" i="105" s="1"/>
  <c r="J36" i="105" a="1"/>
  <c r="J36" i="105" s="1"/>
  <c r="I36" i="105" a="1"/>
  <c r="I36" i="105" s="1"/>
  <c r="H36" i="105" a="1"/>
  <c r="H36" i="105" s="1"/>
  <c r="G36" i="105" a="1"/>
  <c r="G36" i="105" s="1"/>
  <c r="F36" i="105" a="1"/>
  <c r="F36" i="105" s="1"/>
  <c r="E36" i="105" a="1"/>
  <c r="E36" i="105" s="1"/>
  <c r="D36" i="105" a="1"/>
  <c r="D36" i="105" s="1"/>
  <c r="L35" i="105" a="1"/>
  <c r="L35" i="105" s="1"/>
  <c r="K35" i="105" a="1"/>
  <c r="K35" i="105" s="1"/>
  <c r="J35" i="105" a="1"/>
  <c r="J35" i="105" s="1"/>
  <c r="I35" i="105" a="1"/>
  <c r="I35" i="105" s="1"/>
  <c r="H35" i="105" a="1"/>
  <c r="H35" i="105" s="1"/>
  <c r="G35" i="105" a="1"/>
  <c r="G35" i="105" s="1"/>
  <c r="F35" i="105" a="1"/>
  <c r="F35" i="105" s="1"/>
  <c r="E35" i="105" a="1"/>
  <c r="E35" i="105" s="1"/>
  <c r="D35" i="105" a="1"/>
  <c r="D35" i="105" s="1"/>
  <c r="L34" i="105" a="1"/>
  <c r="L34" i="105" s="1"/>
  <c r="K34" i="105" a="1"/>
  <c r="K34" i="105" s="1"/>
  <c r="J34" i="105" a="1"/>
  <c r="J34" i="105" s="1"/>
  <c r="I34" i="105" a="1"/>
  <c r="I34" i="105" s="1"/>
  <c r="H34" i="105" a="1"/>
  <c r="H34" i="105" s="1"/>
  <c r="G34" i="105" a="1"/>
  <c r="G34" i="105" s="1"/>
  <c r="F34" i="105" a="1"/>
  <c r="F34" i="105" s="1"/>
  <c r="E34" i="105" a="1"/>
  <c r="E34" i="105" s="1"/>
  <c r="D34" i="105" a="1"/>
  <c r="D34" i="105" s="1"/>
  <c r="L33" i="105" a="1"/>
  <c r="L33" i="105" s="1"/>
  <c r="K33" i="105" a="1"/>
  <c r="K33" i="105" s="1"/>
  <c r="J33" i="105" a="1"/>
  <c r="J33" i="105" s="1"/>
  <c r="I33" i="105" a="1"/>
  <c r="I33" i="105" s="1"/>
  <c r="H33" i="105" a="1"/>
  <c r="H33" i="105" s="1"/>
  <c r="G33" i="105" a="1"/>
  <c r="G33" i="105" s="1"/>
  <c r="F33" i="105" a="1"/>
  <c r="F33" i="105" s="1"/>
  <c r="E33" i="105" a="1"/>
  <c r="E33" i="105" s="1"/>
  <c r="D33" i="105" a="1"/>
  <c r="D33" i="105" s="1"/>
  <c r="L32" i="105" a="1"/>
  <c r="L32" i="105" s="1"/>
  <c r="K32" i="105" a="1"/>
  <c r="K32" i="105" s="1"/>
  <c r="J32" i="105" a="1"/>
  <c r="J32" i="105" s="1"/>
  <c r="I32" i="105" a="1"/>
  <c r="I32" i="105" s="1"/>
  <c r="H32" i="105" a="1"/>
  <c r="H32" i="105" s="1"/>
  <c r="G32" i="105" a="1"/>
  <c r="G32" i="105" s="1"/>
  <c r="F32" i="105" a="1"/>
  <c r="F32" i="105" s="1"/>
  <c r="E32" i="105" a="1"/>
  <c r="E32" i="105" s="1"/>
  <c r="D32" i="105" a="1"/>
  <c r="D32" i="105" s="1"/>
  <c r="L31" i="105" a="1"/>
  <c r="L31" i="105" s="1"/>
  <c r="K31" i="105" a="1"/>
  <c r="K31" i="105" s="1"/>
  <c r="J31" i="105" a="1"/>
  <c r="J31" i="105" s="1"/>
  <c r="I31" i="105" a="1"/>
  <c r="I31" i="105" s="1"/>
  <c r="H31" i="105" a="1"/>
  <c r="H31" i="105" s="1"/>
  <c r="G31" i="105" a="1"/>
  <c r="G31" i="105" s="1"/>
  <c r="F31" i="105" a="1"/>
  <c r="F31" i="105" s="1"/>
  <c r="E31" i="105" a="1"/>
  <c r="E31" i="105" s="1"/>
  <c r="D31" i="105" a="1"/>
  <c r="D31" i="105" s="1"/>
  <c r="L30" i="105" a="1"/>
  <c r="L30" i="105" s="1"/>
  <c r="K30" i="105" a="1"/>
  <c r="K30" i="105" s="1"/>
  <c r="J30" i="105" a="1"/>
  <c r="J30" i="105" s="1"/>
  <c r="I30" i="105" a="1"/>
  <c r="I30" i="105" s="1"/>
  <c r="H30" i="105" a="1"/>
  <c r="H30" i="105" s="1"/>
  <c r="G30" i="105" a="1"/>
  <c r="G30" i="105" s="1"/>
  <c r="F30" i="105" a="1"/>
  <c r="F30" i="105" s="1"/>
  <c r="E30" i="105" a="1"/>
  <c r="E30" i="105" s="1"/>
  <c r="D30" i="105" a="1"/>
  <c r="D30" i="105" s="1"/>
  <c r="L29" i="105" a="1"/>
  <c r="L29" i="105" s="1"/>
  <c r="K29" i="105" a="1"/>
  <c r="K29" i="105" s="1"/>
  <c r="J29" i="105" a="1"/>
  <c r="J29" i="105" s="1"/>
  <c r="I29" i="105" a="1"/>
  <c r="I29" i="105" s="1"/>
  <c r="H29" i="105" a="1"/>
  <c r="H29" i="105" s="1"/>
  <c r="G29" i="105" a="1"/>
  <c r="G29" i="105" s="1"/>
  <c r="F29" i="105" a="1"/>
  <c r="F29" i="105" s="1"/>
  <c r="E29" i="105" a="1"/>
  <c r="E29" i="105" s="1"/>
  <c r="D29" i="105" a="1"/>
  <c r="D29" i="105" s="1"/>
  <c r="L28" i="105" a="1"/>
  <c r="L28" i="105" s="1"/>
  <c r="K28" i="105" a="1"/>
  <c r="K28" i="105" s="1"/>
  <c r="J28" i="105" a="1"/>
  <c r="J28" i="105" s="1"/>
  <c r="I28" i="105" a="1"/>
  <c r="I28" i="105" s="1"/>
  <c r="H28" i="105" a="1"/>
  <c r="H28" i="105" s="1"/>
  <c r="G28" i="105" a="1"/>
  <c r="G28" i="105" s="1"/>
  <c r="F28" i="105" a="1"/>
  <c r="F28" i="105" s="1"/>
  <c r="E28" i="105" a="1"/>
  <c r="E28" i="105" s="1"/>
  <c r="D28" i="105" a="1"/>
  <c r="D28" i="105" s="1"/>
  <c r="L27" i="105" a="1"/>
  <c r="L27" i="105" s="1"/>
  <c r="K27" i="105" a="1"/>
  <c r="K27" i="105" s="1"/>
  <c r="J27" i="105" a="1"/>
  <c r="J27" i="105" s="1"/>
  <c r="I27" i="105" a="1"/>
  <c r="I27" i="105" s="1"/>
  <c r="H27" i="105" a="1"/>
  <c r="H27" i="105" s="1"/>
  <c r="G27" i="105" a="1"/>
  <c r="G27" i="105" s="1"/>
  <c r="F27" i="105" a="1"/>
  <c r="F27" i="105" s="1"/>
  <c r="E27" i="105" a="1"/>
  <c r="E27" i="105" s="1"/>
  <c r="D27" i="105" a="1"/>
  <c r="D27" i="105" s="1"/>
  <c r="L26" i="105" a="1"/>
  <c r="L26" i="105" s="1"/>
  <c r="K26" i="105" a="1"/>
  <c r="K26" i="105" s="1"/>
  <c r="J26" i="105" a="1"/>
  <c r="J26" i="105" s="1"/>
  <c r="I26" i="105" a="1"/>
  <c r="I26" i="105" s="1"/>
  <c r="H26" i="105" a="1"/>
  <c r="H26" i="105" s="1"/>
  <c r="G26" i="105" a="1"/>
  <c r="G26" i="105" s="1"/>
  <c r="F26" i="105" a="1"/>
  <c r="F26" i="105" s="1"/>
  <c r="E26" i="105" a="1"/>
  <c r="E26" i="105" s="1"/>
  <c r="D26" i="105" a="1"/>
  <c r="D26" i="105" s="1"/>
  <c r="L25" i="105" a="1"/>
  <c r="L25" i="105" s="1"/>
  <c r="K25" i="105" a="1"/>
  <c r="K25" i="105" s="1"/>
  <c r="J25" i="105" a="1"/>
  <c r="J25" i="105" s="1"/>
  <c r="I25" i="105" a="1"/>
  <c r="I25" i="105" s="1"/>
  <c r="H25" i="105" a="1"/>
  <c r="H25" i="105" s="1"/>
  <c r="G25" i="105" a="1"/>
  <c r="G25" i="105" s="1"/>
  <c r="F25" i="105" a="1"/>
  <c r="F25" i="105" s="1"/>
  <c r="E25" i="105" a="1"/>
  <c r="E25" i="105" s="1"/>
  <c r="D25" i="105" a="1"/>
  <c r="D25" i="105" s="1"/>
  <c r="L24" i="105" a="1"/>
  <c r="L24" i="105" s="1"/>
  <c r="K24" i="105" a="1"/>
  <c r="K24" i="105" s="1"/>
  <c r="J24" i="105" a="1"/>
  <c r="J24" i="105" s="1"/>
  <c r="I24" i="105" a="1"/>
  <c r="I24" i="105" s="1"/>
  <c r="H24" i="105" a="1"/>
  <c r="H24" i="105" s="1"/>
  <c r="G24" i="105" a="1"/>
  <c r="G24" i="105" s="1"/>
  <c r="F24" i="105" a="1"/>
  <c r="F24" i="105" s="1"/>
  <c r="E24" i="105" a="1"/>
  <c r="E24" i="105" s="1"/>
  <c r="D24" i="105" a="1"/>
  <c r="D24" i="105" s="1"/>
  <c r="L23" i="105" a="1"/>
  <c r="L23" i="105" s="1"/>
  <c r="K23" i="105" a="1"/>
  <c r="K23" i="105" s="1"/>
  <c r="J23" i="105" a="1"/>
  <c r="J23" i="105" s="1"/>
  <c r="I23" i="105" a="1"/>
  <c r="I23" i="105" s="1"/>
  <c r="H23" i="105" a="1"/>
  <c r="H23" i="105" s="1"/>
  <c r="G23" i="105" a="1"/>
  <c r="G23" i="105" s="1"/>
  <c r="F23" i="105" a="1"/>
  <c r="F23" i="105" s="1"/>
  <c r="E23" i="105" a="1"/>
  <c r="E23" i="105" s="1"/>
  <c r="D23" i="105" a="1"/>
  <c r="D23" i="105" s="1"/>
  <c r="L22" i="105" a="1"/>
  <c r="L22" i="105" s="1"/>
  <c r="K22" i="105" a="1"/>
  <c r="K22" i="105" s="1"/>
  <c r="J22" i="105" a="1"/>
  <c r="J22" i="105" s="1"/>
  <c r="I22" i="105" a="1"/>
  <c r="I22" i="105" s="1"/>
  <c r="H22" i="105" a="1"/>
  <c r="H22" i="105" s="1"/>
  <c r="G22" i="105" a="1"/>
  <c r="G22" i="105" s="1"/>
  <c r="F22" i="105" a="1"/>
  <c r="F22" i="105" s="1"/>
  <c r="E22" i="105" a="1"/>
  <c r="E22" i="105" s="1"/>
  <c r="D22" i="105" a="1"/>
  <c r="D22" i="105" s="1"/>
  <c r="L21" i="105" a="1"/>
  <c r="L21" i="105" s="1"/>
  <c r="K21" i="105" a="1"/>
  <c r="K21" i="105" s="1"/>
  <c r="J21" i="105" a="1"/>
  <c r="J21" i="105" s="1"/>
  <c r="I21" i="105" a="1"/>
  <c r="I21" i="105" s="1"/>
  <c r="H21" i="105" a="1"/>
  <c r="H21" i="105" s="1"/>
  <c r="G21" i="105" a="1"/>
  <c r="G21" i="105" s="1"/>
  <c r="F21" i="105" a="1"/>
  <c r="F21" i="105" s="1"/>
  <c r="E21" i="105" a="1"/>
  <c r="E21" i="105" s="1"/>
  <c r="D21" i="105" a="1"/>
  <c r="D21" i="105" s="1"/>
  <c r="L20" i="105" a="1"/>
  <c r="L20" i="105" s="1"/>
  <c r="K20" i="105" a="1"/>
  <c r="K20" i="105" s="1"/>
  <c r="J20" i="105" a="1"/>
  <c r="J20" i="105" s="1"/>
  <c r="I20" i="105" a="1"/>
  <c r="I20" i="105" s="1"/>
  <c r="H20" i="105" a="1"/>
  <c r="H20" i="105" s="1"/>
  <c r="G20" i="105" a="1"/>
  <c r="G20" i="105" s="1"/>
  <c r="F20" i="105" a="1"/>
  <c r="F20" i="105" s="1"/>
  <c r="E20" i="105" a="1"/>
  <c r="E20" i="105" s="1"/>
  <c r="D20" i="105" a="1"/>
  <c r="D20" i="105" s="1"/>
  <c r="D17" i="105" a="1"/>
  <c r="D17" i="105" s="1"/>
  <c r="D16" i="105" a="1"/>
  <c r="D16" i="105" s="1"/>
  <c r="D15" i="105" a="1"/>
  <c r="D15" i="105" s="1"/>
  <c r="K10" i="105" a="1"/>
  <c r="K10" i="105" s="1"/>
  <c r="J10" i="105" a="1"/>
  <c r="J10" i="105" s="1"/>
  <c r="I10" i="105" a="1"/>
  <c r="I10" i="105" s="1"/>
  <c r="H10" i="105" a="1"/>
  <c r="H10" i="105" s="1"/>
  <c r="G10" i="105" a="1"/>
  <c r="G10" i="105" s="1"/>
  <c r="F10" i="105" a="1"/>
  <c r="F10" i="105" s="1"/>
  <c r="E10" i="105" a="1"/>
  <c r="E10" i="105" s="1"/>
  <c r="D10" i="105" a="1"/>
  <c r="D10" i="105" s="1"/>
  <c r="K9" i="105" a="1"/>
  <c r="K9" i="105" s="1"/>
  <c r="J9" i="105" a="1"/>
  <c r="J9" i="105" s="1"/>
  <c r="I9" i="105" a="1"/>
  <c r="I9" i="105" s="1"/>
  <c r="H9" i="105" a="1"/>
  <c r="H9" i="105" s="1"/>
  <c r="G9" i="105" a="1"/>
  <c r="G9" i="105" s="1"/>
  <c r="F9" i="105" a="1"/>
  <c r="F9" i="105" s="1"/>
  <c r="E9" i="105" a="1"/>
  <c r="E9" i="105" s="1"/>
  <c r="D9" i="105" a="1"/>
  <c r="D9" i="105" s="1"/>
  <c r="K8" i="105" a="1"/>
  <c r="K8" i="105" s="1"/>
  <c r="J8" i="105" a="1"/>
  <c r="J8" i="105" s="1"/>
  <c r="I8" i="105" a="1"/>
  <c r="I8" i="105" s="1"/>
  <c r="H8" i="105" a="1"/>
  <c r="H8" i="105" s="1"/>
  <c r="G8" i="105" a="1"/>
  <c r="G8" i="105" s="1"/>
  <c r="F8" i="105" a="1"/>
  <c r="F8" i="105" s="1"/>
  <c r="E8" i="105" a="1"/>
  <c r="E8" i="105" s="1"/>
  <c r="D8" i="105" a="1"/>
  <c r="D8" i="105" s="1"/>
  <c r="D5" i="105" a="1"/>
  <c r="D5" i="105" s="1"/>
  <c r="P53" i="104" a="1"/>
  <c r="P53" i="104" s="1"/>
  <c r="F53" i="104" a="1"/>
  <c r="F53" i="104" s="1"/>
  <c r="N50" i="104" a="1"/>
  <c r="N50" i="104" s="1"/>
  <c r="D50" i="104" a="1"/>
  <c r="D50" i="104" s="1"/>
  <c r="N45" i="104"/>
  <c r="D45" i="104"/>
  <c r="J40" i="104"/>
  <c r="J36" i="104" a="1"/>
  <c r="J36" i="104" s="1"/>
  <c r="H36" i="104" a="1"/>
  <c r="H36" i="104" s="1"/>
  <c r="D36" i="104" a="1"/>
  <c r="D36" i="104" s="1"/>
  <c r="E34" i="104" a="1"/>
  <c r="E34" i="104" s="1"/>
  <c r="E33" i="104" a="1"/>
  <c r="E33" i="104" s="1"/>
  <c r="D29" i="104" a="1"/>
  <c r="D29" i="104" s="1"/>
  <c r="D28" i="104" a="1"/>
  <c r="D28" i="104" s="1"/>
  <c r="G25" i="104"/>
  <c r="F25" i="104"/>
  <c r="J19" i="104" a="1"/>
  <c r="J19" i="104" s="1"/>
  <c r="J18" i="104"/>
  <c r="J16" i="104" a="1"/>
  <c r="J16" i="104" s="1"/>
  <c r="J14" i="104" a="1"/>
  <c r="J14" i="104" s="1"/>
  <c r="J13" i="104" a="1"/>
  <c r="J13" i="104" s="1"/>
  <c r="H13" i="104" a="1"/>
  <c r="H13" i="104" s="1"/>
  <c r="D13" i="104" a="1"/>
  <c r="D13" i="104" s="1"/>
  <c r="E11" i="104" a="1"/>
  <c r="E11" i="104" s="1"/>
  <c r="E10" i="104" a="1"/>
  <c r="E10" i="104" s="1"/>
  <c r="D6" i="104" a="1"/>
  <c r="D6" i="104" s="1"/>
  <c r="D5" i="104" a="1"/>
  <c r="D5" i="104" s="1"/>
  <c r="P45" i="103" a="1"/>
  <c r="P45" i="103" s="1"/>
  <c r="F45" i="103" a="1"/>
  <c r="F45" i="103" s="1"/>
  <c r="N42" i="103" a="1"/>
  <c r="N42" i="103" s="1"/>
  <c r="D42" i="103" a="1"/>
  <c r="D42" i="103" s="1"/>
  <c r="P40" i="103" a="1"/>
  <c r="P40" i="103" s="1"/>
  <c r="F40" i="103" a="1"/>
  <c r="F40" i="103" s="1"/>
  <c r="J36" i="103"/>
  <c r="R33" i="103" a="1"/>
  <c r="R33" i="103" s="1"/>
  <c r="N33" i="103" a="1"/>
  <c r="N33" i="103" s="1"/>
  <c r="H33" i="103" a="1"/>
  <c r="H33" i="103" s="1"/>
  <c r="D33" i="103" a="1"/>
  <c r="D33" i="103" s="1"/>
  <c r="O31" i="103" a="1"/>
  <c r="O31" i="103" s="1"/>
  <c r="E31" i="103" a="1"/>
  <c r="E31" i="103" s="1"/>
  <c r="O30" i="103" a="1"/>
  <c r="O30" i="103" s="1"/>
  <c r="E30" i="103" a="1"/>
  <c r="E30" i="103" s="1"/>
  <c r="N26" i="103" a="1"/>
  <c r="N26" i="103" s="1"/>
  <c r="D26" i="103" a="1"/>
  <c r="D26" i="103" s="1"/>
  <c r="N25" i="103" a="1"/>
  <c r="N25" i="103" s="1"/>
  <c r="D25" i="103" a="1"/>
  <c r="D25" i="103" s="1"/>
  <c r="P21" i="103" a="1"/>
  <c r="P21" i="103" s="1"/>
  <c r="F21" i="103" a="1"/>
  <c r="F21" i="103" s="1"/>
  <c r="J19" i="103"/>
  <c r="R13" i="103" a="1"/>
  <c r="R13" i="103" s="1"/>
  <c r="N13" i="103" a="1"/>
  <c r="N13" i="103" s="1"/>
  <c r="J13" i="103"/>
  <c r="H13" i="103" a="1"/>
  <c r="H13" i="103" s="1"/>
  <c r="D13" i="103" a="1"/>
  <c r="D13" i="103" s="1"/>
  <c r="E11" i="103" a="1"/>
  <c r="E11" i="103" s="1"/>
  <c r="E10" i="103" a="1"/>
  <c r="E10" i="103" s="1"/>
  <c r="D6" i="103" a="1"/>
  <c r="D6" i="103" s="1"/>
  <c r="D5" i="103" a="1"/>
  <c r="D5" i="103" s="1"/>
  <c r="E68" i="101" a="1"/>
  <c r="E68" i="101" s="1"/>
  <c r="D68" i="101" a="1"/>
  <c r="D68" i="101" s="1"/>
  <c r="E67" i="101" a="1"/>
  <c r="E67" i="101" s="1"/>
  <c r="D67" i="101" a="1"/>
  <c r="D67" i="101" s="1"/>
  <c r="E66" i="101" a="1"/>
  <c r="E66" i="101" s="1"/>
  <c r="D66" i="101" a="1"/>
  <c r="D66" i="101" s="1"/>
  <c r="E65" i="101" a="1"/>
  <c r="E65" i="101" s="1"/>
  <c r="D65" i="101" a="1"/>
  <c r="D65" i="101" s="1"/>
  <c r="E64" i="101" a="1"/>
  <c r="E64" i="101" s="1"/>
  <c r="D64" i="101" a="1"/>
  <c r="D64" i="101" s="1"/>
  <c r="E63" i="101" a="1"/>
  <c r="E63" i="101" s="1"/>
  <c r="D63" i="101" a="1"/>
  <c r="D63" i="101" s="1"/>
  <c r="E62" i="101" a="1"/>
  <c r="E62" i="101" s="1"/>
  <c r="D62" i="101" a="1"/>
  <c r="D62" i="101" s="1"/>
  <c r="E61" i="101" a="1"/>
  <c r="E61" i="101" s="1"/>
  <c r="D61" i="101" a="1"/>
  <c r="D61" i="101" s="1"/>
  <c r="E60" i="101" a="1"/>
  <c r="E60" i="101" s="1"/>
  <c r="D60" i="101" a="1"/>
  <c r="D60" i="101" s="1"/>
  <c r="E59" i="101" a="1"/>
  <c r="E59" i="101" s="1"/>
  <c r="D59" i="101" a="1"/>
  <c r="D59" i="101" s="1"/>
  <c r="E58" i="101" a="1"/>
  <c r="E58" i="101" s="1"/>
  <c r="D58" i="101" a="1"/>
  <c r="D58" i="101" s="1"/>
  <c r="D56" i="101" a="1"/>
  <c r="D56" i="101" s="1"/>
  <c r="D55" i="101" a="1"/>
  <c r="D55" i="101" s="1"/>
  <c r="D54" i="101" a="1"/>
  <c r="D54" i="101" s="1"/>
  <c r="D53" i="101" a="1"/>
  <c r="D53" i="101" s="1"/>
  <c r="D52" i="101" a="1"/>
  <c r="D52" i="101" s="1"/>
  <c r="G50" i="101" a="1"/>
  <c r="G50" i="101" s="1"/>
  <c r="F50" i="101" a="1"/>
  <c r="F50" i="101" s="1"/>
  <c r="E50" i="101" a="1"/>
  <c r="E50" i="101" s="1"/>
  <c r="O21" i="101" s="1"/>
  <c r="D50" i="101" a="1"/>
  <c r="D50" i="101" s="1"/>
  <c r="G49" i="101" a="1"/>
  <c r="G49" i="101" s="1"/>
  <c r="F49" i="101" a="1"/>
  <c r="F49" i="101" s="1"/>
  <c r="E49" i="101" a="1"/>
  <c r="E49" i="101" s="1"/>
  <c r="O20" i="101" s="1"/>
  <c r="D49" i="101" a="1"/>
  <c r="D49" i="101" s="1"/>
  <c r="G48" i="101" a="1"/>
  <c r="G48" i="101" s="1"/>
  <c r="F48" i="101" a="1"/>
  <c r="F48" i="101" s="1"/>
  <c r="E48" i="101" a="1"/>
  <c r="E48" i="101" s="1"/>
  <c r="O19" i="101" s="1"/>
  <c r="D48" i="101" a="1"/>
  <c r="D48" i="101" s="1"/>
  <c r="G47" i="101" a="1"/>
  <c r="G47" i="101" s="1"/>
  <c r="F47" i="101" a="1"/>
  <c r="F47" i="101" s="1"/>
  <c r="E47" i="101" a="1"/>
  <c r="E47" i="101" s="1"/>
  <c r="O18" i="101" s="1"/>
  <c r="D47" i="101" a="1"/>
  <c r="D47" i="101" s="1"/>
  <c r="G46" i="101" a="1"/>
  <c r="G46" i="101" s="1"/>
  <c r="F46" i="101" a="1"/>
  <c r="F46" i="101" s="1"/>
  <c r="E46" i="101" a="1"/>
  <c r="E46" i="101" s="1"/>
  <c r="O17" i="101" s="1"/>
  <c r="D46" i="101" a="1"/>
  <c r="D46" i="101" s="1"/>
  <c r="G45" i="101" a="1"/>
  <c r="G45" i="101" s="1"/>
  <c r="F45" i="101" a="1"/>
  <c r="F45" i="101" s="1"/>
  <c r="E45" i="101" a="1"/>
  <c r="E45" i="101" s="1"/>
  <c r="D45" i="101" a="1"/>
  <c r="D45" i="101" s="1"/>
  <c r="G44" i="101" a="1"/>
  <c r="G44" i="101" s="1"/>
  <c r="F44" i="101" a="1"/>
  <c r="F44" i="101" s="1"/>
  <c r="E44" i="101" a="1"/>
  <c r="E44" i="101" s="1"/>
  <c r="M21" i="101" s="1"/>
  <c r="D44" i="101" a="1"/>
  <c r="D44" i="101" s="1"/>
  <c r="G43" i="101" a="1"/>
  <c r="G43" i="101" s="1"/>
  <c r="F43" i="101" a="1"/>
  <c r="F43" i="101" s="1"/>
  <c r="E43" i="101" a="1"/>
  <c r="E43" i="101" s="1"/>
  <c r="M20" i="101" s="1"/>
  <c r="D43" i="101" a="1"/>
  <c r="D43" i="101" s="1"/>
  <c r="G42" i="101" a="1"/>
  <c r="G42" i="101" s="1"/>
  <c r="F42" i="101" a="1"/>
  <c r="F42" i="101" s="1"/>
  <c r="E42" i="101" a="1"/>
  <c r="E42" i="101" s="1"/>
  <c r="M19" i="101" s="1"/>
  <c r="D42" i="101" a="1"/>
  <c r="D42" i="101" s="1"/>
  <c r="G41" i="101" a="1"/>
  <c r="G41" i="101" s="1"/>
  <c r="F41" i="101" a="1"/>
  <c r="F41" i="101" s="1"/>
  <c r="E41" i="101" a="1"/>
  <c r="E41" i="101" s="1"/>
  <c r="M18" i="101" s="1"/>
  <c r="D41" i="101" a="1"/>
  <c r="D41" i="101" s="1"/>
  <c r="G40" i="101" a="1"/>
  <c r="G40" i="101" s="1"/>
  <c r="F40" i="101" a="1"/>
  <c r="F40" i="101" s="1"/>
  <c r="E40" i="101" a="1"/>
  <c r="E40" i="101" s="1"/>
  <c r="M17" i="101" s="1"/>
  <c r="D40" i="101" a="1"/>
  <c r="D40" i="101" s="1"/>
  <c r="G39" i="101" a="1"/>
  <c r="G39" i="101" s="1"/>
  <c r="F39" i="101" a="1"/>
  <c r="F39" i="101" s="1"/>
  <c r="E39" i="101" a="1"/>
  <c r="E39" i="101" s="1"/>
  <c r="D39" i="101" a="1"/>
  <c r="D39" i="101" s="1"/>
  <c r="G38" i="101" a="1"/>
  <c r="G38" i="101" s="1"/>
  <c r="F38" i="101" a="1"/>
  <c r="F38" i="101" s="1"/>
  <c r="E38" i="101" a="1"/>
  <c r="E38" i="101" s="1"/>
  <c r="K26" i="101" s="1"/>
  <c r="D38" i="101" a="1"/>
  <c r="D38" i="101" s="1"/>
  <c r="G37" i="101" a="1"/>
  <c r="G37" i="101" s="1"/>
  <c r="F37" i="101" a="1"/>
  <c r="F37" i="101" s="1"/>
  <c r="E37" i="101" a="1"/>
  <c r="E37" i="101" s="1"/>
  <c r="K25" i="101" s="1"/>
  <c r="D37" i="101" a="1"/>
  <c r="D37" i="101" s="1"/>
  <c r="G36" i="101" a="1"/>
  <c r="G36" i="101" s="1"/>
  <c r="F36" i="101" a="1"/>
  <c r="F36" i="101" s="1"/>
  <c r="E36" i="101" a="1"/>
  <c r="E36" i="101" s="1"/>
  <c r="K24" i="101" s="1"/>
  <c r="D36" i="101" a="1"/>
  <c r="D36" i="101" s="1"/>
  <c r="G35" i="101" a="1"/>
  <c r="G35" i="101" s="1"/>
  <c r="F35" i="101" a="1"/>
  <c r="F35" i="101" s="1"/>
  <c r="E35" i="101" a="1"/>
  <c r="E35" i="101" s="1"/>
  <c r="K23" i="101" s="1"/>
  <c r="D35" i="101" a="1"/>
  <c r="D35" i="101" s="1"/>
  <c r="G34" i="101" a="1"/>
  <c r="G34" i="101" s="1"/>
  <c r="F34" i="101" a="1"/>
  <c r="F34" i="101" s="1"/>
  <c r="E34" i="101" a="1"/>
  <c r="E34" i="101" s="1"/>
  <c r="K22" i="101" s="1"/>
  <c r="D34" i="101" a="1"/>
  <c r="D34" i="101" s="1"/>
  <c r="G33" i="101" a="1"/>
  <c r="G33" i="101" s="1"/>
  <c r="F33" i="101" a="1"/>
  <c r="F33" i="101" s="1"/>
  <c r="E33" i="101" a="1"/>
  <c r="E33" i="101" s="1"/>
  <c r="K21" i="101" s="1"/>
  <c r="D33" i="101" a="1"/>
  <c r="D33" i="101" s="1"/>
  <c r="G32" i="101" a="1"/>
  <c r="G32" i="101" s="1"/>
  <c r="F32" i="101" a="1"/>
  <c r="F32" i="101" s="1"/>
  <c r="E32" i="101" a="1"/>
  <c r="E32" i="101" s="1"/>
  <c r="K20" i="101" s="1"/>
  <c r="D32" i="101" a="1"/>
  <c r="D32" i="101" s="1"/>
  <c r="G31" i="101" a="1"/>
  <c r="G31" i="101" s="1"/>
  <c r="F31" i="101" a="1"/>
  <c r="F31" i="101" s="1"/>
  <c r="E31" i="101" a="1"/>
  <c r="E31" i="101" s="1"/>
  <c r="K19" i="101" s="1"/>
  <c r="D31" i="101" a="1"/>
  <c r="D31" i="101" s="1"/>
  <c r="G30" i="101" a="1"/>
  <c r="G30" i="101" s="1"/>
  <c r="F30" i="101" a="1"/>
  <c r="F30" i="101" s="1"/>
  <c r="E30" i="101" a="1"/>
  <c r="E30" i="101" s="1"/>
  <c r="K18" i="101" s="1"/>
  <c r="D30" i="101" a="1"/>
  <c r="D30" i="101" s="1"/>
  <c r="G29" i="101" a="1"/>
  <c r="G29" i="101" s="1"/>
  <c r="F29" i="101" a="1"/>
  <c r="F29" i="101" s="1"/>
  <c r="E29" i="101" a="1"/>
  <c r="E29" i="101" s="1"/>
  <c r="K17" i="101" s="1"/>
  <c r="D29" i="101" a="1"/>
  <c r="D29" i="101" s="1"/>
  <c r="G28" i="101" a="1"/>
  <c r="G28" i="101" s="1"/>
  <c r="F28" i="101" a="1"/>
  <c r="F28" i="101" s="1"/>
  <c r="E28" i="101" a="1"/>
  <c r="E28" i="101" s="1"/>
  <c r="D28" i="101" a="1"/>
  <c r="D28" i="101" s="1"/>
  <c r="G27" i="101" a="1"/>
  <c r="G27" i="101" s="1"/>
  <c r="F27" i="101" a="1"/>
  <c r="F27" i="101" s="1"/>
  <c r="E27" i="101" a="1"/>
  <c r="E27" i="101" s="1"/>
  <c r="I27" i="101" s="1"/>
  <c r="D27" i="101" a="1"/>
  <c r="D27" i="101" s="1"/>
  <c r="G26" i="101" a="1"/>
  <c r="G26" i="101" s="1"/>
  <c r="F26" i="101" a="1"/>
  <c r="F26" i="101" s="1"/>
  <c r="E26" i="101" a="1"/>
  <c r="E26" i="101" s="1"/>
  <c r="I26" i="101" s="1"/>
  <c r="D26" i="101" a="1"/>
  <c r="D26" i="101" s="1"/>
  <c r="G25" i="101" a="1"/>
  <c r="G25" i="101" s="1"/>
  <c r="F25" i="101" a="1"/>
  <c r="F25" i="101" s="1"/>
  <c r="E25" i="101" a="1"/>
  <c r="E25" i="101" s="1"/>
  <c r="I25" i="101" s="1"/>
  <c r="D25" i="101" a="1"/>
  <c r="D25" i="101" s="1"/>
  <c r="G24" i="101" a="1"/>
  <c r="G24" i="101" s="1"/>
  <c r="F24" i="101" a="1"/>
  <c r="F24" i="101" s="1"/>
  <c r="E24" i="101" a="1"/>
  <c r="E24" i="101" s="1"/>
  <c r="I24" i="101" s="1"/>
  <c r="D24" i="101" a="1"/>
  <c r="D24" i="101" s="1"/>
  <c r="G23" i="101" a="1"/>
  <c r="G23" i="101" s="1"/>
  <c r="F23" i="101" a="1"/>
  <c r="F23" i="101" s="1"/>
  <c r="E23" i="101" a="1"/>
  <c r="E23" i="101" s="1"/>
  <c r="I23" i="101" s="1"/>
  <c r="D23" i="101" a="1"/>
  <c r="D23" i="101" s="1"/>
  <c r="G22" i="101" a="1"/>
  <c r="G22" i="101" s="1"/>
  <c r="F22" i="101" a="1"/>
  <c r="F22" i="101" s="1"/>
  <c r="E22" i="101" a="1"/>
  <c r="E22" i="101" s="1"/>
  <c r="I22" i="101" s="1"/>
  <c r="D22" i="101" a="1"/>
  <c r="D22" i="101" s="1"/>
  <c r="G21" i="101" a="1"/>
  <c r="G21" i="101" s="1"/>
  <c r="F21" i="101" a="1"/>
  <c r="F21" i="101" s="1"/>
  <c r="E21" i="101" a="1"/>
  <c r="E21" i="101" s="1"/>
  <c r="I21" i="101" s="1"/>
  <c r="D21" i="101" a="1"/>
  <c r="D21" i="101" s="1"/>
  <c r="G20" i="101" a="1"/>
  <c r="G20" i="101" s="1"/>
  <c r="F20" i="101" a="1"/>
  <c r="F20" i="101" s="1"/>
  <c r="E20" i="101" a="1"/>
  <c r="E20" i="101" s="1"/>
  <c r="I20" i="101" s="1"/>
  <c r="D20" i="101" a="1"/>
  <c r="D20" i="101" s="1"/>
  <c r="G19" i="101" a="1"/>
  <c r="G19" i="101" s="1"/>
  <c r="F19" i="101" a="1"/>
  <c r="F19" i="101" s="1"/>
  <c r="E19" i="101" a="1"/>
  <c r="E19" i="101" s="1"/>
  <c r="I19" i="101" s="1"/>
  <c r="D19" i="101" a="1"/>
  <c r="D19" i="101" s="1"/>
  <c r="G18" i="101" a="1"/>
  <c r="G18" i="101" s="1"/>
  <c r="F18" i="101" a="1"/>
  <c r="F18" i="101" s="1"/>
  <c r="E18" i="101" a="1"/>
  <c r="E18" i="101" s="1"/>
  <c r="I18" i="101" s="1"/>
  <c r="D18" i="101" a="1"/>
  <c r="D18" i="101" s="1"/>
  <c r="G17" i="101" a="1"/>
  <c r="G17" i="101" s="1"/>
  <c r="F17" i="101" a="1"/>
  <c r="F17" i="101" s="1"/>
  <c r="E17" i="101" a="1"/>
  <c r="E17" i="101" s="1"/>
  <c r="E59" i="100" s="1" a="1"/>
  <c r="D17" i="101" a="1"/>
  <c r="D17" i="101" s="1"/>
  <c r="D15" i="101" a="1"/>
  <c r="D15" i="101" s="1"/>
  <c r="D14" i="101" a="1"/>
  <c r="D14" i="101" s="1"/>
  <c r="D7" i="101" a="1"/>
  <c r="D7" i="101" s="1"/>
  <c r="D6" i="101" a="1"/>
  <c r="D6" i="101" s="1"/>
  <c r="D5" i="101" a="1"/>
  <c r="D5" i="101" s="1"/>
  <c r="H185" i="100"/>
  <c r="H179" i="100"/>
  <c r="H168" i="100"/>
  <c r="H144" i="100"/>
  <c r="H138" i="100"/>
  <c r="H127" i="100"/>
  <c r="H105" i="100" a="1"/>
  <c r="H105" i="100" s="1"/>
  <c r="D105" i="100" a="1"/>
  <c r="D105" i="100" s="1"/>
  <c r="E103" i="100" a="1"/>
  <c r="E103" i="100" s="1"/>
  <c r="E102" i="100" a="1"/>
  <c r="E102" i="100" s="1"/>
  <c r="D98" i="100" a="1"/>
  <c r="D98" i="100" s="1"/>
  <c r="D97" i="100" a="1"/>
  <c r="D97" i="100" s="1"/>
  <c r="D96" i="100" a="1"/>
  <c r="D96" i="100" s="1"/>
  <c r="J16" i="100" a="1"/>
  <c r="J16" i="100" s="1"/>
  <c r="I16" i="100" a="1"/>
  <c r="I16" i="100" s="1"/>
  <c r="J15" i="100" a="1"/>
  <c r="J15" i="100" s="1"/>
  <c r="I15" i="100" a="1"/>
  <c r="I15" i="100" s="1"/>
  <c r="J14" i="100" a="1"/>
  <c r="J14" i="100" s="1"/>
  <c r="I14" i="100" a="1"/>
  <c r="I14" i="100" s="1"/>
  <c r="J13" i="100" a="1"/>
  <c r="J13" i="100" s="1"/>
  <c r="I13" i="100" a="1"/>
  <c r="I13" i="100" s="1"/>
  <c r="G13" i="100" a="1"/>
  <c r="G13" i="100" s="1"/>
  <c r="D13" i="100" a="1"/>
  <c r="D13" i="100" s="1"/>
  <c r="E11" i="100" a="1"/>
  <c r="E11" i="100" s="1"/>
  <c r="E10" i="100" a="1"/>
  <c r="E10" i="100" s="1"/>
  <c r="D6" i="100" a="1"/>
  <c r="D6" i="100" s="1"/>
  <c r="D5" i="100" a="1"/>
  <c r="D5" i="100" s="1"/>
  <c r="E139" i="98"/>
  <c r="F40" i="97" s="1"/>
  <c r="G138" i="98"/>
  <c r="F32" i="96" s="1"/>
  <c r="E138" i="98"/>
  <c r="F39" i="97" s="1"/>
  <c r="M39" i="97" s="1" a="1"/>
  <c r="M39" i="97" s="1"/>
  <c r="G137" i="98"/>
  <c r="F31" i="96" s="1"/>
  <c r="E137" i="98"/>
  <c r="F38" i="97" s="1"/>
  <c r="D137" i="98"/>
  <c r="F31" i="97" s="1"/>
  <c r="G136" i="98"/>
  <c r="F30" i="96" s="1"/>
  <c r="E136" i="98"/>
  <c r="F37" i="97" s="1"/>
  <c r="D136" i="98"/>
  <c r="F30" i="97" s="1"/>
  <c r="G135" i="98"/>
  <c r="F29" i="96" s="1"/>
  <c r="M29" i="96" s="1" a="1"/>
  <c r="M29" i="96" s="1"/>
  <c r="E135" i="98"/>
  <c r="F36" i="97" s="1"/>
  <c r="D135" i="98"/>
  <c r="F29" i="97" s="1"/>
  <c r="M29" i="97" s="1" a="1"/>
  <c r="M29" i="97" s="1"/>
  <c r="G134" i="98"/>
  <c r="F28" i="96" s="1"/>
  <c r="E134" i="98"/>
  <c r="F35" i="97" s="1"/>
  <c r="D134" i="98"/>
  <c r="F28" i="97" s="1"/>
  <c r="G133" i="98"/>
  <c r="F27" i="96" s="1"/>
  <c r="F133" i="98"/>
  <c r="F36" i="96" s="1"/>
  <c r="M36" i="96" s="1" a="1"/>
  <c r="M36" i="96" s="1"/>
  <c r="E133" i="98"/>
  <c r="F34" i="97" s="1"/>
  <c r="D133" i="98"/>
  <c r="F27" i="97" s="1"/>
  <c r="M27" i="97" s="1" a="1"/>
  <c r="M27" i="97" s="1"/>
  <c r="I132" i="98"/>
  <c r="F38" i="96" s="1"/>
  <c r="G132" i="98"/>
  <c r="F26" i="96" s="1"/>
  <c r="F132" i="98"/>
  <c r="F35" i="96" s="1"/>
  <c r="E132" i="98"/>
  <c r="F33" i="97" s="1"/>
  <c r="D132" i="98"/>
  <c r="F26" i="97" s="1"/>
  <c r="I131" i="98"/>
  <c r="F37" i="96" s="1"/>
  <c r="H131" i="98"/>
  <c r="F33" i="96" s="1"/>
  <c r="M33" i="96" s="1" a="1"/>
  <c r="M33" i="96" s="1"/>
  <c r="G131" i="98"/>
  <c r="F25" i="96" s="1"/>
  <c r="F131" i="98"/>
  <c r="F34" i="96" s="1"/>
  <c r="E131" i="98"/>
  <c r="F32" i="97" s="1"/>
  <c r="D131" i="98"/>
  <c r="F25" i="97" s="1"/>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E40" i="97" s="1"/>
  <c r="H40" i="97" s="1"/>
  <c r="J103" i="98" a="1"/>
  <c r="J103" i="98" s="1"/>
  <c r="I103" i="98" a="1"/>
  <c r="I103" i="98" s="1"/>
  <c r="H103" i="98" a="1"/>
  <c r="H103" i="98" s="1"/>
  <c r="G103" i="98" a="1"/>
  <c r="G103" i="98" s="1"/>
  <c r="F103" i="98" a="1"/>
  <c r="F103" i="98" s="1"/>
  <c r="E103" i="98" a="1"/>
  <c r="E103" i="98" s="1"/>
  <c r="D103" i="98" a="1"/>
  <c r="D103" i="98" s="1"/>
  <c r="E39" i="97"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E38" i="97"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E30" i="97" s="1"/>
  <c r="K74" i="98" a="1"/>
  <c r="K74" i="98" s="1"/>
  <c r="J74" i="98" a="1"/>
  <c r="J74" i="98" s="1"/>
  <c r="I74" i="98" a="1"/>
  <c r="I74" i="98" s="1"/>
  <c r="H74" i="98" a="1"/>
  <c r="H74" i="98" s="1"/>
  <c r="G74" i="98" a="1"/>
  <c r="G74" i="98" s="1"/>
  <c r="F74" i="98" a="1"/>
  <c r="F74" i="98" s="1"/>
  <c r="E74" i="98" a="1"/>
  <c r="E74" i="98" s="1"/>
  <c r="D74" i="98" a="1"/>
  <c r="D74" i="98" s="1"/>
  <c r="E36" i="97" s="1"/>
  <c r="K36" i="97" s="1"/>
  <c r="K73" i="98" a="1"/>
  <c r="K73" i="98" s="1"/>
  <c r="J73" i="98" a="1"/>
  <c r="J73" i="98" s="1"/>
  <c r="I73" i="98" a="1"/>
  <c r="I73" i="98" s="1"/>
  <c r="H73" i="98" a="1"/>
  <c r="H73" i="98" s="1"/>
  <c r="G73" i="98" a="1"/>
  <c r="G73" i="98" s="1"/>
  <c r="F73" i="98" a="1"/>
  <c r="F73" i="98" s="1"/>
  <c r="E73" i="98" a="1"/>
  <c r="E73" i="98" s="1"/>
  <c r="D73" i="98" a="1"/>
  <c r="D73" i="98" s="1"/>
  <c r="E35" i="97" s="1"/>
  <c r="I35" i="97"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E27" i="97"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E32" i="97"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E39" i="96"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E36" i="96" s="1"/>
  <c r="D30" i="98" a="1"/>
  <c r="D30" i="98" s="1"/>
  <c r="L29" i="98" a="1"/>
  <c r="L29" i="98" s="1"/>
  <c r="K29" i="98" a="1"/>
  <c r="K29" i="98" s="1"/>
  <c r="J29" i="98" a="1"/>
  <c r="J29" i="98" s="1"/>
  <c r="I29" i="98" a="1"/>
  <c r="I29" i="98" s="1"/>
  <c r="H29" i="98" a="1"/>
  <c r="H29" i="98" s="1"/>
  <c r="G29" i="98" a="1"/>
  <c r="G29" i="98" s="1"/>
  <c r="F29" i="98" a="1"/>
  <c r="F29" i="98" s="1"/>
  <c r="E29" i="98" a="1"/>
  <c r="E29" i="98" s="1"/>
  <c r="E35" i="96" s="1"/>
  <c r="D29" i="98" a="1"/>
  <c r="D29" i="98" s="1"/>
  <c r="L28" i="98" a="1"/>
  <c r="L28" i="98" s="1"/>
  <c r="K28" i="98" a="1"/>
  <c r="K28" i="98" s="1"/>
  <c r="J28" i="98" a="1"/>
  <c r="J28" i="98" s="1"/>
  <c r="I28" i="98" a="1"/>
  <c r="I28" i="98" s="1"/>
  <c r="H28" i="98" a="1"/>
  <c r="H28" i="98" s="1"/>
  <c r="G28" i="98" a="1"/>
  <c r="G28" i="98" s="1"/>
  <c r="F28" i="98" a="1"/>
  <c r="F28" i="98" s="1"/>
  <c r="E28" i="98" a="1"/>
  <c r="E28" i="98" s="1"/>
  <c r="E34" i="96"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E32" i="96" s="1"/>
  <c r="D17" i="98" a="1"/>
  <c r="D17" i="98" s="1"/>
  <c r="L16" i="98" a="1"/>
  <c r="L16" i="98" s="1"/>
  <c r="K16" i="98" a="1"/>
  <c r="K16" i="98" s="1"/>
  <c r="J16" i="98" a="1"/>
  <c r="J16" i="98" s="1"/>
  <c r="I16" i="98" a="1"/>
  <c r="I16" i="98" s="1"/>
  <c r="H16" i="98" a="1"/>
  <c r="H16" i="98" s="1"/>
  <c r="G16" i="98" a="1"/>
  <c r="G16" i="98" s="1"/>
  <c r="F16" i="98" a="1"/>
  <c r="F16" i="98" s="1"/>
  <c r="E16" i="98" a="1"/>
  <c r="E16" i="98" s="1"/>
  <c r="E31" i="96" s="1"/>
  <c r="D16" i="98" a="1"/>
  <c r="D16" i="98" s="1"/>
  <c r="L15" i="98" a="1"/>
  <c r="L15" i="98" s="1"/>
  <c r="K15" i="98" a="1"/>
  <c r="K15" i="98" s="1"/>
  <c r="J15" i="98" a="1"/>
  <c r="J15" i="98" s="1"/>
  <c r="I15" i="98" a="1"/>
  <c r="I15" i="98" s="1"/>
  <c r="H15" i="98" a="1"/>
  <c r="H15" i="98" s="1"/>
  <c r="G15" i="98" a="1"/>
  <c r="G15" i="98" s="1"/>
  <c r="F15" i="98" a="1"/>
  <c r="F15" i="98" s="1"/>
  <c r="E15" i="98" a="1"/>
  <c r="E15" i="98" s="1"/>
  <c r="E30" i="96" s="1"/>
  <c r="D15" i="98" a="1"/>
  <c r="D15" i="98" s="1"/>
  <c r="L14" i="98" a="1"/>
  <c r="L14" i="98" s="1"/>
  <c r="K14" i="98" a="1"/>
  <c r="K14" i="98" s="1"/>
  <c r="J14" i="98" a="1"/>
  <c r="J14" i="98" s="1"/>
  <c r="I14" i="98" a="1"/>
  <c r="I14" i="98" s="1"/>
  <c r="H14" i="98" a="1"/>
  <c r="H14" i="98" s="1"/>
  <c r="G14" i="98" a="1"/>
  <c r="G14" i="98" s="1"/>
  <c r="F14" i="98" a="1"/>
  <c r="F14" i="98" s="1"/>
  <c r="E14" i="98" a="1"/>
  <c r="E14" i="98" s="1"/>
  <c r="E29" i="96" s="1"/>
  <c r="D14" i="98" a="1"/>
  <c r="D14" i="98" s="1"/>
  <c r="L13" i="98" a="1"/>
  <c r="L13" i="98" s="1"/>
  <c r="K13" i="98" a="1"/>
  <c r="K13" i="98" s="1"/>
  <c r="J13" i="98" a="1"/>
  <c r="J13" i="98" s="1"/>
  <c r="I13" i="98" a="1"/>
  <c r="I13" i="98" s="1"/>
  <c r="H13" i="98" a="1"/>
  <c r="H13" i="98" s="1"/>
  <c r="G13" i="98" a="1"/>
  <c r="G13" i="98" s="1"/>
  <c r="F13" i="98" a="1"/>
  <c r="F13" i="98" s="1"/>
  <c r="E13" i="98" a="1"/>
  <c r="E13" i="98" s="1"/>
  <c r="E28" i="96" s="1"/>
  <c r="D13" i="98" a="1"/>
  <c r="D13" i="98" s="1"/>
  <c r="L12" i="98" a="1"/>
  <c r="L12" i="98" s="1"/>
  <c r="K12" i="98" a="1"/>
  <c r="K12" i="98" s="1"/>
  <c r="J12" i="98" a="1"/>
  <c r="J12" i="98" s="1"/>
  <c r="I12" i="98" a="1"/>
  <c r="I12" i="98" s="1"/>
  <c r="H12" i="98" a="1"/>
  <c r="H12" i="98" s="1"/>
  <c r="G12" i="98" a="1"/>
  <c r="G12" i="98" s="1"/>
  <c r="F12" i="98" a="1"/>
  <c r="F12" i="98" s="1"/>
  <c r="E12" i="98" a="1"/>
  <c r="E12" i="98" s="1"/>
  <c r="E27" i="96"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4" i="97"/>
  <c r="D36" i="97"/>
  <c r="D27" i="97"/>
  <c r="D29"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L11" i="97" a="1"/>
  <c r="L11" i="97" s="1"/>
  <c r="E11" i="97" a="1"/>
  <c r="E11" i="97" s="1"/>
  <c r="K7" i="97" a="1"/>
  <c r="K7" i="97" s="1"/>
  <c r="K6" i="97" a="1"/>
  <c r="K6" i="97" s="1"/>
  <c r="D6" i="97" a="1"/>
  <c r="D6" i="97" s="1"/>
  <c r="K5" i="97" a="1"/>
  <c r="K5" i="97" s="1"/>
  <c r="D5" i="97" a="1"/>
  <c r="D5" i="97" s="1"/>
  <c r="D60" i="96"/>
  <c r="D39" i="96"/>
  <c r="D35" i="96"/>
  <c r="D30" i="96"/>
  <c r="D42"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I552" i="109" s="1" a="1"/>
  <c r="I552" i="109" s="1"/>
  <c r="F25" i="94" a="1"/>
  <c r="F25" i="94" s="1"/>
  <c r="E25" i="94" a="1"/>
  <c r="E25" i="94" s="1"/>
  <c r="J36" i="93" s="1" a="1"/>
  <c r="J36" i="93"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I46" i="92"/>
  <c r="H46" i="92"/>
  <c r="E46" i="92"/>
  <c r="I39" i="92"/>
  <c r="H39" i="92"/>
  <c r="I38" i="92"/>
  <c r="H38" i="92"/>
  <c r="H37" i="92"/>
  <c r="I37" i="92"/>
  <c r="I48" i="92"/>
  <c r="E16" i="92"/>
  <c r="E22" i="92" s="1"/>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J91" i="90"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I19" i="88" s="1"/>
  <c r="E67" i="91" a="1"/>
  <c r="E67" i="91" s="1"/>
  <c r="I18" i="88" s="1"/>
  <c r="D67" i="91" a="1"/>
  <c r="D67" i="91" s="1"/>
  <c r="F66" i="91" a="1"/>
  <c r="F66" i="91" s="1"/>
  <c r="I16" i="88" s="1"/>
  <c r="E66" i="91" a="1"/>
  <c r="E66" i="91" s="1"/>
  <c r="I15" i="88" s="1"/>
  <c r="D66" i="91" a="1"/>
  <c r="D66" i="91" s="1"/>
  <c r="D64" i="91" a="1"/>
  <c r="D64" i="91" s="1"/>
  <c r="D63" i="91" a="1"/>
  <c r="D63" i="91" s="1"/>
  <c r="F60" i="91" a="1"/>
  <c r="F60" i="91" s="1"/>
  <c r="E60" i="91" a="1"/>
  <c r="E60" i="91" s="1"/>
  <c r="I50" i="86"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G180" i="11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G190" i="111" s="1"/>
  <c r="I35" i="91" a="1"/>
  <c r="I35" i="91" s="1"/>
  <c r="H35" i="91" a="1"/>
  <c r="H35" i="91" s="1"/>
  <c r="G35" i="91" a="1"/>
  <c r="G35" i="91" s="1"/>
  <c r="F35" i="91" a="1"/>
  <c r="F35" i="91" s="1"/>
  <c r="E35" i="91" a="1"/>
  <c r="E35" i="91" s="1"/>
  <c r="D35" i="91" a="1"/>
  <c r="D35" i="91" s="1"/>
  <c r="G182" i="111" s="1"/>
  <c r="I34" i="91" a="1"/>
  <c r="I34" i="91" s="1"/>
  <c r="H34" i="91" a="1"/>
  <c r="H34" i="91" s="1"/>
  <c r="G34" i="91" a="1"/>
  <c r="G34" i="91" s="1"/>
  <c r="F34" i="91" a="1"/>
  <c r="F34" i="91" s="1"/>
  <c r="E34" i="91" a="1"/>
  <c r="E34" i="91" s="1"/>
  <c r="D34" i="91" a="1"/>
  <c r="D34" i="91" s="1"/>
  <c r="G184" i="111" s="1"/>
  <c r="I33" i="91" a="1"/>
  <c r="I33" i="91" s="1"/>
  <c r="H33" i="91" a="1"/>
  <c r="H33" i="91" s="1"/>
  <c r="G33" i="91" a="1"/>
  <c r="G33" i="91" s="1"/>
  <c r="F33" i="91" a="1"/>
  <c r="F33" i="91" s="1"/>
  <c r="E33" i="91" a="1"/>
  <c r="E33" i="91" s="1"/>
  <c r="D33" i="91" a="1"/>
  <c r="D33" i="91" s="1"/>
  <c r="G198" i="111" s="1"/>
  <c r="I32" i="91" a="1"/>
  <c r="I32" i="91" s="1"/>
  <c r="H32" i="91" a="1"/>
  <c r="H32" i="91" s="1"/>
  <c r="G32" i="91" a="1"/>
  <c r="G32" i="91" s="1"/>
  <c r="F32" i="91" a="1"/>
  <c r="F32" i="91" s="1"/>
  <c r="E32" i="91" a="1"/>
  <c r="E32" i="91" s="1"/>
  <c r="D32" i="91" a="1"/>
  <c r="D32" i="91" s="1"/>
  <c r="G191" i="111" s="1"/>
  <c r="I31" i="91" a="1"/>
  <c r="I31" i="91" s="1"/>
  <c r="H31" i="91" a="1"/>
  <c r="H31" i="91" s="1"/>
  <c r="G31" i="91" a="1"/>
  <c r="G31" i="91" s="1"/>
  <c r="F31" i="91" a="1"/>
  <c r="F31" i="91" s="1"/>
  <c r="E31" i="91" a="1"/>
  <c r="E31" i="91" s="1"/>
  <c r="D31" i="91" a="1"/>
  <c r="D31" i="91" s="1"/>
  <c r="G189" i="111" s="1"/>
  <c r="I30" i="91" a="1"/>
  <c r="I30" i="91" s="1"/>
  <c r="H30" i="91" a="1"/>
  <c r="H30" i="91" s="1"/>
  <c r="G30" i="91" a="1"/>
  <c r="G30" i="91" s="1"/>
  <c r="F30" i="91" a="1"/>
  <c r="F30" i="91" s="1"/>
  <c r="E30" i="91" a="1"/>
  <c r="E30" i="91" s="1"/>
  <c r="D30" i="91" a="1"/>
  <c r="D30" i="91" s="1"/>
  <c r="G188" i="111" s="1"/>
  <c r="I29" i="91" a="1"/>
  <c r="I29" i="91" s="1"/>
  <c r="H29" i="91" a="1"/>
  <c r="H29" i="91" s="1"/>
  <c r="G29" i="91" a="1"/>
  <c r="G29" i="91" s="1"/>
  <c r="F29" i="91" a="1"/>
  <c r="F29" i="91" s="1"/>
  <c r="E29" i="91" a="1"/>
  <c r="E29" i="91" s="1"/>
  <c r="D29" i="91" a="1"/>
  <c r="D29" i="91" s="1"/>
  <c r="G186" i="11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G187" i="11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G185" i="11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G179" i="11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G178" i="11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G193" i="11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G192" i="11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G181" i="111" s="1"/>
  <c r="V20" i="91" a="1"/>
  <c r="V20" i="91" s="1"/>
  <c r="H194" i="11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D67" i="90"/>
  <c r="D66" i="90"/>
  <c r="D65" i="90"/>
  <c r="I60" i="90"/>
  <c r="I59" i="90"/>
  <c r="I58" i="90"/>
  <c r="I55" i="90" a="1"/>
  <c r="I55" i="90" s="1"/>
  <c r="G55" i="90" a="1"/>
  <c r="G55" i="90" s="1"/>
  <c r="D55" i="90" a="1"/>
  <c r="D55" i="90" s="1"/>
  <c r="E53" i="90" a="1"/>
  <c r="E53" i="90" s="1"/>
  <c r="F77" i="90" s="1"/>
  <c r="E52" i="90" a="1"/>
  <c r="E52" i="90" s="1"/>
  <c r="D48" i="90" a="1"/>
  <c r="D48" i="90" s="1"/>
  <c r="D47" i="90" a="1"/>
  <c r="D47" i="90" s="1"/>
  <c r="I18" i="90"/>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8" i="89"/>
  <c r="I127" i="89"/>
  <c r="I124" i="89" a="1"/>
  <c r="I124" i="89" s="1"/>
  <c r="G124" i="89" a="1"/>
  <c r="G124" i="89" s="1"/>
  <c r="D124" i="89" a="1"/>
  <c r="D124" i="89" s="1"/>
  <c r="E122" i="89" a="1"/>
  <c r="E122" i="89" s="1"/>
  <c r="F146" i="89" s="1"/>
  <c r="E121" i="89" a="1"/>
  <c r="E121" i="89" s="1"/>
  <c r="D117" i="89" a="1"/>
  <c r="D117" i="89" s="1"/>
  <c r="D116" i="89" a="1"/>
  <c r="D116"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3" i="89"/>
  <c r="J52" i="89"/>
  <c r="J49" i="89" a="1"/>
  <c r="J49" i="89" s="1"/>
  <c r="H49" i="89" a="1"/>
  <c r="H49" i="89" s="1"/>
  <c r="D49" i="89" a="1"/>
  <c r="D49" i="89" s="1"/>
  <c r="E47" i="89" a="1"/>
  <c r="E47" i="89" s="1"/>
  <c r="F79"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E73" i="90" s="1"/>
  <c r="I27" i="87" a="1"/>
  <c r="I27" i="87" s="1"/>
  <c r="E72" i="90" s="1"/>
  <c r="I26" i="87" a="1"/>
  <c r="I26" i="87" s="1"/>
  <c r="E71" i="90" s="1"/>
  <c r="I25" i="87" a="1"/>
  <c r="I25" i="87" s="1"/>
  <c r="E70" i="90" s="1"/>
  <c r="I24" i="87" a="1"/>
  <c r="I24" i="87" s="1"/>
  <c r="E106" i="89" s="1"/>
  <c r="I23" i="87" a="1"/>
  <c r="I23" i="87" s="1"/>
  <c r="E105" i="89"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3" i="85"/>
  <c r="S71" i="85"/>
  <c r="S70" i="85"/>
  <c r="S67" i="85" a="1"/>
  <c r="S67" i="85" s="1"/>
  <c r="Q67" i="85" a="1"/>
  <c r="Q67" i="85" s="1"/>
  <c r="M67" i="85" a="1"/>
  <c r="M67" i="85" s="1"/>
  <c r="N65" i="85" a="1"/>
  <c r="N65" i="85" s="1"/>
  <c r="N64" i="85" a="1"/>
  <c r="N64" i="85" s="1"/>
  <c r="M59" i="85" a="1"/>
  <c r="M59" i="85" s="1"/>
  <c r="M58" i="85" a="1"/>
  <c r="M58" i="85" s="1"/>
  <c r="V54" i="85" a="1"/>
  <c r="V54" i="85" s="1"/>
  <c r="T54" i="85"/>
  <c r="U54" i="85" s="1"/>
  <c r="S54" i="85" a="1"/>
  <c r="S54" i="85" s="1"/>
  <c r="R54" i="85" a="1"/>
  <c r="R54" i="85" s="1"/>
  <c r="Q54" i="85"/>
  <c r="I54" i="85"/>
  <c r="V53" i="85" a="1"/>
  <c r="V53" i="85" s="1"/>
  <c r="T53" i="85"/>
  <c r="U53" i="85" s="1"/>
  <c r="S53" i="85" a="1"/>
  <c r="S53" i="85" s="1"/>
  <c r="R53" i="85" a="1"/>
  <c r="R53" i="85" s="1"/>
  <c r="Q53" i="85"/>
  <c r="I53" i="85"/>
  <c r="I52" i="85"/>
  <c r="I49" i="85" a="1"/>
  <c r="I49" i="85" s="1"/>
  <c r="G49" i="85" a="1"/>
  <c r="G49" i="85" s="1"/>
  <c r="D49" i="85" a="1"/>
  <c r="D49" i="85" s="1"/>
  <c r="E47" i="85" a="1"/>
  <c r="E47" i="85" s="1"/>
  <c r="E46" i="85" a="1"/>
  <c r="E46" i="85" s="1"/>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H50" i="84"/>
  <c r="I50" i="84" s="1"/>
  <c r="G50" i="84"/>
  <c r="J50" i="84" s="1"/>
  <c r="H49" i="84"/>
  <c r="I49" i="84" s="1"/>
  <c r="G49" i="84"/>
  <c r="H48" i="84"/>
  <c r="G48" i="84"/>
  <c r="J48" i="84" s="1"/>
  <c r="K39" i="84"/>
  <c r="G39" i="84"/>
  <c r="F39" i="84"/>
  <c r="K38" i="84"/>
  <c r="F38" i="84"/>
  <c r="G38" i="84" s="1"/>
  <c r="K37" i="84"/>
  <c r="F37" i="84"/>
  <c r="G37" i="84" s="1"/>
  <c r="E305" i="109" s="1" a="1"/>
  <c r="E305" i="109" s="1"/>
  <c r="H305" i="109" s="1" a="1"/>
  <c r="H305" i="109" s="1"/>
  <c r="D35" i="84"/>
  <c r="F28" i="84"/>
  <c r="G28" i="84" s="1"/>
  <c r="F27" i="84"/>
  <c r="G27" i="84" s="1"/>
  <c r="F26" i="84"/>
  <c r="H22" i="84"/>
  <c r="H21" i="84"/>
  <c r="H20" i="84"/>
  <c r="H19" i="84"/>
  <c r="H18" i="84"/>
  <c r="P45" i="85" s="1" a="1"/>
  <c r="P45" i="85"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I15"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U232" i="81"/>
  <c r="D231" i="81" a="1"/>
  <c r="D231" i="81" s="1"/>
  <c r="U227" i="81"/>
  <c r="U226" i="81"/>
  <c r="U225" i="81"/>
  <c r="U224" i="81"/>
  <c r="H224" i="81"/>
  <c r="D224" i="81" a="1"/>
  <c r="D224" i="81" s="1"/>
  <c r="U223" i="81"/>
  <c r="U222" i="81"/>
  <c r="E222" i="81" a="1"/>
  <c r="E222" i="81" s="1"/>
  <c r="W267" i="81" s="1"/>
  <c r="U221" i="81"/>
  <c r="E221" i="81" a="1"/>
  <c r="E221" i="81" s="1"/>
  <c r="U220" i="81"/>
  <c r="U219" i="81"/>
  <c r="U218" i="81"/>
  <c r="U217" i="81"/>
  <c r="D217" i="81" a="1"/>
  <c r="D217" i="81" s="1"/>
  <c r="V216" i="81" a="1"/>
  <c r="V216" i="81" s="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AF255" i="81" s="1"/>
  <c r="U181" i="81"/>
  <c r="E181" i="81" a="1"/>
  <c r="E181" i="81" s="1"/>
  <c r="U180" i="81"/>
  <c r="D177" i="81" a="1"/>
  <c r="D177" i="81" s="1"/>
  <c r="D176" i="81" a="1"/>
  <c r="D176" i="81" s="1"/>
  <c r="U175" i="81"/>
  <c r="U174" i="81"/>
  <c r="U173" i="81"/>
  <c r="U172" i="81"/>
  <c r="U171" i="81"/>
  <c r="U170" i="81"/>
  <c r="U169" i="81"/>
  <c r="U168" i="81"/>
  <c r="U167" i="81"/>
  <c r="U166" i="81"/>
  <c r="U165" i="81"/>
  <c r="U164" i="81"/>
  <c r="E164" i="81" a="1"/>
  <c r="E164" i="81" s="1"/>
  <c r="E163" i="81" a="1"/>
  <c r="E163" i="81" s="1"/>
  <c r="E162" i="81" a="1"/>
  <c r="E162" i="81" s="1"/>
  <c r="E161" i="81" a="1"/>
  <c r="E161" i="81" s="1"/>
  <c r="U151" i="81" a="1"/>
  <c r="U151" i="81" s="1"/>
  <c r="U147" i="81"/>
  <c r="I147" i="8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O17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U120" i="81"/>
  <c r="D120" i="8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O128" i="81" s="1"/>
  <c r="U108" i="81"/>
  <c r="E108" i="81" a="1"/>
  <c r="E108" i="81" s="1"/>
  <c r="U107" i="81"/>
  <c r="U106" i="81"/>
  <c r="U105" i="81"/>
  <c r="U104" i="81"/>
  <c r="U103" i="81"/>
  <c r="D103" i="81" a="1"/>
  <c r="D103" i="81" s="1"/>
  <c r="U102" i="81"/>
  <c r="D102" i="81" a="1"/>
  <c r="D102" i="81" s="1"/>
  <c r="U101" i="81"/>
  <c r="U100" i="81"/>
  <c r="D98" i="81"/>
  <c r="D97" i="81"/>
  <c r="D96" i="81"/>
  <c r="D95" i="81"/>
  <c r="U87" i="81" a="1"/>
  <c r="U87" i="81" s="1"/>
  <c r="U83" i="81"/>
  <c r="U82" i="81"/>
  <c r="I82" i="81"/>
  <c r="U81" i="81"/>
  <c r="U80" i="81"/>
  <c r="U79" i="81"/>
  <c r="I79" i="81" a="1"/>
  <c r="I79" i="81" s="1"/>
  <c r="U78" i="81"/>
  <c r="I78" i="81" a="1"/>
  <c r="I78" i="81" s="1"/>
  <c r="G78" i="81" a="1"/>
  <c r="G78" i="81" s="1"/>
  <c r="D78" i="81" a="1"/>
  <c r="D78" i="81" s="1"/>
  <c r="U77" i="81"/>
  <c r="U76" i="81"/>
  <c r="E76" i="81" a="1"/>
  <c r="E76"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U20" i="81"/>
  <c r="D20" i="81"/>
  <c r="H15"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F249" i="80" a="1"/>
  <c r="F249" i="80" s="1"/>
  <c r="W246" i="80"/>
  <c r="X274" i="80" s="1"/>
  <c r="D246" i="80" a="1"/>
  <c r="D246" i="80" s="1"/>
  <c r="W245" i="80"/>
  <c r="X273" i="80" s="1"/>
  <c r="W244" i="80"/>
  <c r="X260" i="80" s="1"/>
  <c r="W243" i="80"/>
  <c r="X271" i="80" s="1"/>
  <c r="W242" i="80"/>
  <c r="X258" i="80" s="1"/>
  <c r="W241" i="80"/>
  <c r="W240" i="80"/>
  <c r="W239" i="80"/>
  <c r="X267" i="80" s="1"/>
  <c r="W238" i="80"/>
  <c r="W237" i="80"/>
  <c r="X265" i="80" s="1"/>
  <c r="W236" i="80"/>
  <c r="W235" i="80"/>
  <c r="W230" i="80"/>
  <c r="W229" i="80"/>
  <c r="W228" i="80"/>
  <c r="W227" i="80"/>
  <c r="E227" i="80" a="1"/>
  <c r="E227" i="80" s="1"/>
  <c r="W226" i="80"/>
  <c r="W225" i="80"/>
  <c r="W224" i="80"/>
  <c r="W223" i="80"/>
  <c r="W222" i="80"/>
  <c r="W221" i="80"/>
  <c r="W220" i="80"/>
  <c r="X219" i="80" a="1"/>
  <c r="W219" i="80"/>
  <c r="E219" i="80" a="1"/>
  <c r="I214" i="80" a="1"/>
  <c r="I214" i="80" s="1"/>
  <c r="I213" i="80" a="1"/>
  <c r="I213" i="80" s="1"/>
  <c r="I212" i="80" a="1"/>
  <c r="I212" i="80" s="1"/>
  <c r="G212" i="80" a="1"/>
  <c r="G212" i="80" s="1"/>
  <c r="D212" i="80" a="1"/>
  <c r="D212" i="80" s="1"/>
  <c r="E210" i="80" a="1"/>
  <c r="E210" i="80" s="1"/>
  <c r="E209" i="80" a="1"/>
  <c r="E209" i="80" s="1"/>
  <c r="D205" i="80" a="1"/>
  <c r="D205" i="80" s="1"/>
  <c r="D204" i="80" a="1"/>
  <c r="D204" i="80" s="1"/>
  <c r="I160" i="80"/>
  <c r="AB159" i="80"/>
  <c r="I159" i="80"/>
  <c r="I157" i="80" a="1"/>
  <c r="I157" i="80" s="1"/>
  <c r="I156" i="80" a="1"/>
  <c r="I156" i="80" s="1"/>
  <c r="I155" i="80"/>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5" i="80"/>
  <c r="W141" i="80" s="1"/>
  <c r="W124" i="80"/>
  <c r="W140" i="80" s="1"/>
  <c r="W123" i="80"/>
  <c r="W139" i="80" s="1"/>
  <c r="X197" i="80" s="1"/>
  <c r="W122" i="80"/>
  <c r="W138" i="80" s="1"/>
  <c r="X196" i="80" s="1"/>
  <c r="W121" i="80"/>
  <c r="W137" i="80" s="1"/>
  <c r="X195" i="80" s="1"/>
  <c r="W120" i="80"/>
  <c r="W136" i="80" s="1"/>
  <c r="X182" i="80" s="1"/>
  <c r="W119" i="80"/>
  <c r="W135" i="80" s="1"/>
  <c r="X193" i="80" s="1"/>
  <c r="W118" i="80"/>
  <c r="W134" i="80" s="1"/>
  <c r="W117" i="80"/>
  <c r="W133" i="80" s="1"/>
  <c r="W116" i="80"/>
  <c r="W132" i="80" s="1"/>
  <c r="W115" i="80"/>
  <c r="W131" i="80" s="1"/>
  <c r="I110" i="80"/>
  <c r="I109" i="80" a="1"/>
  <c r="I109" i="80" s="1"/>
  <c r="I108" i="80" a="1"/>
  <c r="I108" i="80" s="1"/>
  <c r="G108" i="80" a="1"/>
  <c r="G108" i="80" s="1"/>
  <c r="D108" i="80" a="1"/>
  <c r="D108" i="80" s="1"/>
  <c r="E106" i="80" a="1"/>
  <c r="E106"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D68" i="80"/>
  <c r="W67" i="80"/>
  <c r="W66" i="80"/>
  <c r="W65" i="80"/>
  <c r="W64" i="80"/>
  <c r="W63" i="80"/>
  <c r="W62" i="80"/>
  <c r="W61" i="80"/>
  <c r="W60" i="80"/>
  <c r="W55" i="80"/>
  <c r="D55" i="80"/>
  <c r="W54" i="80"/>
  <c r="D54" i="80"/>
  <c r="W53" i="80"/>
  <c r="D53" i="80"/>
  <c r="W52" i="80"/>
  <c r="D52" i="80"/>
  <c r="W51" i="80"/>
  <c r="W50" i="80"/>
  <c r="W49" i="80"/>
  <c r="W48" i="80"/>
  <c r="W47" i="80"/>
  <c r="I47" i="80" a="1"/>
  <c r="I47" i="80" s="1"/>
  <c r="W46" i="80"/>
  <c r="I46" i="80" a="1"/>
  <c r="I46" i="80" s="1"/>
  <c r="W45" i="80"/>
  <c r="I45" i="80" a="1"/>
  <c r="I45" i="80" s="1"/>
  <c r="G45" i="80" a="1"/>
  <c r="G45" i="80" s="1"/>
  <c r="D45" i="80" a="1"/>
  <c r="D45" i="80" s="1"/>
  <c r="W44" i="80"/>
  <c r="E43" i="80" a="1"/>
  <c r="E43" i="80" s="1"/>
  <c r="E42" i="80" a="1"/>
  <c r="E42" i="80" s="1"/>
  <c r="W39" i="80"/>
  <c r="W38" i="80"/>
  <c r="D38" i="80" a="1"/>
  <c r="D38" i="80" s="1"/>
  <c r="W37" i="80"/>
  <c r="D37" i="80" a="1"/>
  <c r="D37" i="80" s="1"/>
  <c r="W36" i="80"/>
  <c r="W35" i="80"/>
  <c r="W34" i="80"/>
  <c r="W33" i="80"/>
  <c r="H33" i="80"/>
  <c r="W32" i="80"/>
  <c r="G32" i="80"/>
  <c r="W31" i="80"/>
  <c r="W30" i="80"/>
  <c r="W29" i="80"/>
  <c r="W28" i="80"/>
  <c r="J16" i="80"/>
  <c r="J13" i="80" a="1"/>
  <c r="J13" i="80" s="1"/>
  <c r="H13" i="80" a="1"/>
  <c r="H13" i="80" s="1"/>
  <c r="D13" i="80" a="1"/>
  <c r="D13" i="80" s="1"/>
  <c r="E11" i="80" a="1"/>
  <c r="E11" i="80" s="1"/>
  <c r="E10" i="80" a="1"/>
  <c r="E10" i="80" s="1"/>
  <c r="D6" i="80" a="1"/>
  <c r="D6" i="80" s="1"/>
  <c r="D5" i="80" a="1"/>
  <c r="D5" i="80" s="1"/>
  <c r="I216" i="79"/>
  <c r="I215" i="79"/>
  <c r="I214" i="79"/>
  <c r="I213" i="79"/>
  <c r="I212" i="79"/>
  <c r="I211" i="79"/>
  <c r="I210" i="79"/>
  <c r="I209" i="79"/>
  <c r="I208" i="79"/>
  <c r="I207" i="79"/>
  <c r="D172" i="79"/>
  <c r="D171" i="79"/>
  <c r="D170" i="79"/>
  <c r="D169" i="79"/>
  <c r="D168" i="79"/>
  <c r="D167" i="79"/>
  <c r="D166" i="79"/>
  <c r="D165" i="79"/>
  <c r="D164" i="79"/>
  <c r="D163" i="79"/>
  <c r="D162" i="79"/>
  <c r="D161" i="79"/>
  <c r="D150" i="79"/>
  <c r="D149" i="79"/>
  <c r="D148" i="79"/>
  <c r="D147" i="79"/>
  <c r="D146" i="79"/>
  <c r="D145" i="79"/>
  <c r="D144" i="79"/>
  <c r="D143" i="79"/>
  <c r="D142" i="79"/>
  <c r="D141" i="79"/>
  <c r="D140" i="79"/>
  <c r="D139" i="79"/>
  <c r="G128" i="79"/>
  <c r="X92" i="81" s="1"/>
  <c r="F128" i="79"/>
  <c r="Y22" i="80" s="1"/>
  <c r="E128" i="79"/>
  <c r="D125" i="79"/>
  <c r="K124" i="79"/>
  <c r="J124" i="79"/>
  <c r="K123" i="79"/>
  <c r="J123" i="79"/>
  <c r="M123" i="79" s="1"/>
  <c r="L122" i="79"/>
  <c r="K122" i="79"/>
  <c r="J122" i="79"/>
  <c r="K121" i="79"/>
  <c r="M122" i="79" s="1"/>
  <c r="J121" i="79"/>
  <c r="E121" i="79"/>
  <c r="D127" i="79" s="1"/>
  <c r="E120" i="79"/>
  <c r="D126" i="79" s="1"/>
  <c r="M114" i="79"/>
  <c r="L114" i="79"/>
  <c r="M113" i="79"/>
  <c r="L113" i="79"/>
  <c r="M112" i="79"/>
  <c r="L112" i="79"/>
  <c r="M111" i="79"/>
  <c r="L111"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N34" i="79" s="1"/>
  <c r="D33" i="79"/>
  <c r="L33" i="79" s="1"/>
  <c r="D32" i="79"/>
  <c r="L32" i="79" s="1"/>
  <c r="D31" i="79"/>
  <c r="I31" i="79" s="1"/>
  <c r="D30" i="79"/>
  <c r="F30" i="79" s="1"/>
  <c r="D29" i="79"/>
  <c r="N29" i="79" s="1"/>
  <c r="D28" i="79"/>
  <c r="N28" i="79" s="1"/>
  <c r="D27" i="79"/>
  <c r="K27" i="79" s="1"/>
  <c r="D26" i="79"/>
  <c r="H26" i="79" s="1"/>
  <c r="D25" i="79"/>
  <c r="E25" i="79" s="1"/>
  <c r="D24" i="79"/>
  <c r="K24" i="79" s="1"/>
  <c r="D23" i="79"/>
  <c r="N23" i="79" s="1"/>
  <c r="E7" i="79"/>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J14" i="82"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M367" i="78" s="1"/>
  <c r="J356" i="78" a="1"/>
  <c r="J356" i="78" s="1"/>
  <c r="K367" i="78" s="1"/>
  <c r="I356" i="78" a="1"/>
  <c r="I356" i="78" s="1"/>
  <c r="I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M366" i="78" s="1"/>
  <c r="J355" i="78" a="1"/>
  <c r="J355" i="78" s="1"/>
  <c r="K366" i="78" s="1"/>
  <c r="I355" i="78" a="1"/>
  <c r="I355" i="78" s="1"/>
  <c r="J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M365"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L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N363" i="78" s="1"/>
  <c r="J352" i="78" a="1"/>
  <c r="J352" i="78" s="1"/>
  <c r="K363" i="78" s="1"/>
  <c r="I352" i="78" a="1"/>
  <c r="I352"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M362" i="78" s="1"/>
  <c r="J351" i="78" a="1"/>
  <c r="J351" i="78" s="1"/>
  <c r="K362" i="78" s="1"/>
  <c r="I351" i="78" a="1"/>
  <c r="I351"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O117" i="78" s="1"/>
  <c r="L46" i="78" a="1"/>
  <c r="L46" i="78" s="1"/>
  <c r="M117" i="78" s="1"/>
  <c r="K46" i="78" a="1"/>
  <c r="K46" i="78" s="1"/>
  <c r="L117"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P115"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P113"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L112"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N110"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P109"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N102"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L27" i="78" a="1"/>
  <c r="L27" i="78" s="1"/>
  <c r="M98" i="78" s="1"/>
  <c r="K27" i="78" a="1"/>
  <c r="K27" i="78" s="1"/>
  <c r="L98"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I22" i="78" a="1"/>
  <c r="I22" i="78" s="1"/>
  <c r="I93"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O20" i="78"/>
  <c r="M20" i="78" a="1"/>
  <c r="M20" i="78" s="1"/>
  <c r="L20" i="78" a="1"/>
  <c r="L20" i="78" s="1"/>
  <c r="K20" i="78" a="1"/>
  <c r="K20" i="78" s="1"/>
  <c r="J20" i="78" a="1"/>
  <c r="J20" i="78" s="1"/>
  <c r="I20" i="78" a="1"/>
  <c r="I20" i="78" s="1"/>
  <c r="H20" i="78" a="1"/>
  <c r="H20" i="78" s="1"/>
  <c r="G20" i="78" a="1"/>
  <c r="G20" i="78" s="1"/>
  <c r="F20" i="78" a="1"/>
  <c r="F20" i="78" s="1"/>
  <c r="E20" i="78" a="1"/>
  <c r="E20" i="78" s="1"/>
  <c r="D20" i="78" a="1"/>
  <c r="D20" i="78" s="1"/>
  <c r="O19" i="78"/>
  <c r="M19" i="78" a="1"/>
  <c r="M19" i="78" s="1"/>
  <c r="O90"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44" i="77"/>
  <c r="U160" i="77" s="1"/>
  <c r="U143" i="77"/>
  <c r="U159" i="77" s="1"/>
  <c r="U142" i="77"/>
  <c r="U158" i="77" s="1"/>
  <c r="U141" i="77"/>
  <c r="U157" i="77" s="1"/>
  <c r="U140" i="77"/>
  <c r="U156" i="77" s="1"/>
  <c r="U139" i="77"/>
  <c r="U155" i="77" s="1"/>
  <c r="U138" i="77"/>
  <c r="U154" i="77" s="1"/>
  <c r="U137" i="77"/>
  <c r="U153" i="77" s="1"/>
  <c r="U136" i="77"/>
  <c r="U152" i="77" s="1"/>
  <c r="U135" i="77"/>
  <c r="U151" i="77" s="1"/>
  <c r="U134" i="77"/>
  <c r="U150" i="77" s="1"/>
  <c r="U133" i="77"/>
  <c r="U149" i="77" s="1"/>
  <c r="F133" i="77" a="1"/>
  <c r="F133" i="77" s="1"/>
  <c r="D130" i="77" a="1"/>
  <c r="D130" i="77" s="1"/>
  <c r="U128" i="77"/>
  <c r="U127" i="77"/>
  <c r="U126" i="77"/>
  <c r="U125" i="77"/>
  <c r="U124" i="77"/>
  <c r="U123" i="77"/>
  <c r="U122" i="77"/>
  <c r="U121" i="77"/>
  <c r="U120" i="77"/>
  <c r="U119" i="77"/>
  <c r="U118" i="77"/>
  <c r="V117" i="77" a="1"/>
  <c r="V117" i="77" s="1"/>
  <c r="U117" i="77"/>
  <c r="E115" i="77" a="1"/>
  <c r="E115" i="77" s="1"/>
  <c r="U112" i="77" a="1"/>
  <c r="U112" i="77" s="1"/>
  <c r="U108" i="77"/>
  <c r="U107" i="77"/>
  <c r="E107" i="77" a="1"/>
  <c r="E107" i="77" s="1"/>
  <c r="U106" i="77"/>
  <c r="U105" i="77"/>
  <c r="U104" i="77"/>
  <c r="U103" i="77"/>
  <c r="U102" i="77"/>
  <c r="I102" i="77" a="1"/>
  <c r="I102" i="77" s="1"/>
  <c r="U101" i="77"/>
  <c r="I101" i="77" a="1"/>
  <c r="I101" i="77" s="1"/>
  <c r="U100" i="77"/>
  <c r="I100" i="77" a="1"/>
  <c r="I100" i="77" s="1"/>
  <c r="G100" i="77" a="1"/>
  <c r="AF117" i="77" s="1"/>
  <c r="D100" i="77" a="1"/>
  <c r="D100" i="77" s="1"/>
  <c r="U99" i="77"/>
  <c r="U98" i="77"/>
  <c r="E98" i="77" a="1"/>
  <c r="E98" i="77" s="1"/>
  <c r="AF149" i="77" s="1"/>
  <c r="U97" i="77"/>
  <c r="E97" i="77" a="1"/>
  <c r="E97" i="77" s="1"/>
  <c r="D93" i="77" a="1"/>
  <c r="D93" i="77" s="1"/>
  <c r="U92" i="77" a="1"/>
  <c r="U92" i="77" s="1"/>
  <c r="D92" i="77" a="1"/>
  <c r="D92" i="77" s="1"/>
  <c r="U87" i="77"/>
  <c r="U86" i="77"/>
  <c r="U85" i="77"/>
  <c r="U84" i="77"/>
  <c r="U83" i="77"/>
  <c r="U82" i="77"/>
  <c r="U81" i="77"/>
  <c r="U80" i="77"/>
  <c r="I80" i="77" a="1"/>
  <c r="I80" i="77" s="1"/>
  <c r="G80" i="77" a="1"/>
  <c r="G80" i="77" s="1"/>
  <c r="D80" i="77" a="1"/>
  <c r="D80" i="77" s="1"/>
  <c r="U79" i="77"/>
  <c r="U78" i="77"/>
  <c r="E78" i="77" a="1"/>
  <c r="E78" i="77" s="1"/>
  <c r="U77" i="77"/>
  <c r="E77" i="77" a="1"/>
  <c r="E77" i="77" s="1"/>
  <c r="U76" i="77"/>
  <c r="D72" i="77" a="1"/>
  <c r="D72" i="77" s="1"/>
  <c r="U71" i="77"/>
  <c r="D71" i="77" a="1"/>
  <c r="D71" i="77" s="1"/>
  <c r="U70" i="77"/>
  <c r="U69" i="77"/>
  <c r="U68" i="77"/>
  <c r="U67" i="77"/>
  <c r="U66" i="77"/>
  <c r="U65" i="77"/>
  <c r="U64" i="77"/>
  <c r="U63" i="77"/>
  <c r="U62" i="77"/>
  <c r="U61" i="77"/>
  <c r="U60" i="77"/>
  <c r="D59" i="77"/>
  <c r="D58" i="77"/>
  <c r="D57" i="77"/>
  <c r="D56" i="77"/>
  <c r="U55" i="77"/>
  <c r="U54" i="77"/>
  <c r="U53" i="77"/>
  <c r="U52" i="77"/>
  <c r="U51" i="77"/>
  <c r="D51" i="77"/>
  <c r="U50" i="77"/>
  <c r="D50" i="77"/>
  <c r="U49" i="77"/>
  <c r="D49" i="77"/>
  <c r="U48" i="77"/>
  <c r="D48" i="77"/>
  <c r="U47" i="77"/>
  <c r="U46" i="77"/>
  <c r="U45" i="77"/>
  <c r="U44" i="77"/>
  <c r="I43" i="77" a="1"/>
  <c r="I43" i="77" s="1"/>
  <c r="I42" i="77" a="1"/>
  <c r="I42" i="77" s="1"/>
  <c r="I41" i="77" a="1"/>
  <c r="I41" i="77" s="1"/>
  <c r="G41" i="77" a="1"/>
  <c r="G41" i="77" s="1"/>
  <c r="D41" i="77" a="1"/>
  <c r="D41" i="77" s="1"/>
  <c r="U39" i="77"/>
  <c r="E39" i="77" a="1"/>
  <c r="E39" i="77" s="1"/>
  <c r="AF84" i="77" s="1"/>
  <c r="U38" i="77"/>
  <c r="E38" i="77" a="1"/>
  <c r="E38" i="77" s="1"/>
  <c r="U37" i="77"/>
  <c r="G37" i="77" a="1"/>
  <c r="G37" i="77" s="1"/>
  <c r="U36" i="77"/>
  <c r="V36" i="77" s="1" a="1"/>
  <c r="V36" i="77" s="1"/>
  <c r="W36" i="77" s="1" a="1"/>
  <c r="W36" i="77" s="1"/>
  <c r="U35" i="77"/>
  <c r="V35" i="77" s="1" a="1"/>
  <c r="V35" i="77" s="1"/>
  <c r="W35" i="77" s="1" a="1"/>
  <c r="W35" i="77" s="1"/>
  <c r="U34" i="77"/>
  <c r="D34" i="77" a="1"/>
  <c r="D34" i="77" s="1"/>
  <c r="U33" i="77"/>
  <c r="D33" i="77" a="1"/>
  <c r="D33" i="77" s="1"/>
  <c r="U32" i="77"/>
  <c r="U31" i="77"/>
  <c r="U30" i="77"/>
  <c r="U29" i="77"/>
  <c r="E29" i="77" a="1"/>
  <c r="E29" i="77" s="1"/>
  <c r="F29" i="77" s="1" a="1"/>
  <c r="F29" i="77" s="1"/>
  <c r="U28" i="77"/>
  <c r="E26" i="77" a="1"/>
  <c r="E26" i="77" s="1"/>
  <c r="F26" i="77" s="1" a="1"/>
  <c r="F26" i="77" s="1"/>
  <c r="J26" i="77" s="1" a="1"/>
  <c r="J26" i="77" s="1"/>
  <c r="J16" i="77"/>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D170" i="76"/>
  <c r="D169" i="76"/>
  <c r="D168" i="76"/>
  <c r="D167" i="76"/>
  <c r="D166" i="76"/>
  <c r="D165" i="76"/>
  <c r="D164" i="76"/>
  <c r="D163" i="76"/>
  <c r="D162" i="76"/>
  <c r="D161" i="76"/>
  <c r="D150" i="76"/>
  <c r="D149" i="76"/>
  <c r="D148" i="76"/>
  <c r="D147" i="76"/>
  <c r="D146" i="76"/>
  <c r="D145" i="76"/>
  <c r="D144" i="76"/>
  <c r="D143" i="76"/>
  <c r="D142" i="76"/>
  <c r="D141" i="76"/>
  <c r="D140" i="76"/>
  <c r="D139" i="76"/>
  <c r="G128" i="76"/>
  <c r="F128" i="76"/>
  <c r="E128" i="76"/>
  <c r="D125" i="76"/>
  <c r="K124" i="76"/>
  <c r="J124" i="76"/>
  <c r="K123" i="76"/>
  <c r="L123" i="76" s="1"/>
  <c r="J123" i="76"/>
  <c r="K122" i="76"/>
  <c r="L122" i="76" s="1"/>
  <c r="J122" i="76"/>
  <c r="M122" i="76" s="1"/>
  <c r="K121" i="76"/>
  <c r="J121" i="76"/>
  <c r="L121" i="76" s="1"/>
  <c r="E121" i="76"/>
  <c r="D127" i="76" s="1"/>
  <c r="E120" i="76"/>
  <c r="M114" i="76"/>
  <c r="L114" i="76"/>
  <c r="M113" i="76"/>
  <c r="L113" i="76"/>
  <c r="M112" i="76"/>
  <c r="L112" i="76"/>
  <c r="M111" i="76"/>
  <c r="L111" i="76"/>
  <c r="D111" i="76"/>
  <c r="D100" i="76"/>
  <c r="D99" i="76"/>
  <c r="D98" i="76"/>
  <c r="D97" i="76"/>
  <c r="D96" i="76"/>
  <c r="D95" i="76"/>
  <c r="D94" i="76"/>
  <c r="D93" i="76"/>
  <c r="D92" i="76"/>
  <c r="D91" i="76"/>
  <c r="D90" i="76"/>
  <c r="D89" i="76"/>
  <c r="D78" i="76"/>
  <c r="D77" i="76"/>
  <c r="D76" i="76"/>
  <c r="D75" i="76"/>
  <c r="D74" i="76"/>
  <c r="D73" i="76"/>
  <c r="D72" i="76"/>
  <c r="D71" i="76"/>
  <c r="D70" i="76"/>
  <c r="D69" i="76"/>
  <c r="D68" i="76"/>
  <c r="D67" i="76"/>
  <c r="D56" i="76"/>
  <c r="D55" i="76"/>
  <c r="D54" i="76"/>
  <c r="D53" i="76"/>
  <c r="D52" i="76"/>
  <c r="D51" i="76"/>
  <c r="D50" i="76"/>
  <c r="D49" i="76"/>
  <c r="D48" i="76"/>
  <c r="D47" i="76"/>
  <c r="D46" i="76"/>
  <c r="D45" i="76"/>
  <c r="D34" i="76"/>
  <c r="I34" i="76" s="1"/>
  <c r="D33" i="76"/>
  <c r="M33" i="76" s="1"/>
  <c r="D32" i="76"/>
  <c r="L32" i="76" s="1"/>
  <c r="D31" i="76"/>
  <c r="N31" i="76" s="1"/>
  <c r="D30" i="76"/>
  <c r="D29" i="76"/>
  <c r="H29" i="76" s="1"/>
  <c r="D28" i="76"/>
  <c r="N28" i="76" s="1"/>
  <c r="D27" i="76"/>
  <c r="J27" i="76" s="1"/>
  <c r="D26" i="76"/>
  <c r="D25" i="76"/>
  <c r="D24" i="76"/>
  <c r="J24" i="76" s="1"/>
  <c r="D23" i="76"/>
  <c r="J23" i="76" s="1"/>
  <c r="E7" i="76"/>
  <c r="E29" i="72"/>
  <c r="E42" i="110" a="1"/>
  <c r="E7" i="109" a="1"/>
  <c r="E7" i="96" a="1"/>
  <c r="E7" i="86" a="1"/>
  <c r="E206" i="80" a="1"/>
  <c r="E561" i="109" a="1"/>
  <c r="E8" i="93" a="1"/>
  <c r="E42" i="85" a="1"/>
  <c r="E594" i="109" a="1"/>
  <c r="E355" i="109" a="1"/>
  <c r="E25" i="93" a="1"/>
  <c r="N60" i="85" a="1"/>
  <c r="E148" i="80" a="1"/>
  <c r="E418" i="109" a="1"/>
  <c r="E7" i="90" a="1"/>
  <c r="E39" i="80" a="1"/>
  <c r="E290" i="109" a="1"/>
  <c r="E101" i="80" a="1"/>
  <c r="E508" i="109" a="1"/>
  <c r="E7" i="85" a="1"/>
  <c r="E523" i="109" a="1"/>
  <c r="E30" i="104" a="1"/>
  <c r="E49" i="90" a="1"/>
  <c r="E26" i="83" a="1"/>
  <c r="E73" i="77" a="1"/>
  <c r="O42" i="110" a="1"/>
  <c r="E7" i="103" a="1"/>
  <c r="E38" i="87" a="1"/>
  <c r="E385" i="109" a="1"/>
  <c r="E99" i="100" a="1"/>
  <c r="E22" i="82" a="1"/>
  <c r="E174" i="109" a="1"/>
  <c r="E104" i="81" a="1"/>
  <c r="E7" i="89" a="1"/>
  <c r="O61" i="110" a="1"/>
  <c r="E27" i="103" a="1"/>
  <c r="E43" i="86" a="1"/>
  <c r="E7" i="100" a="1"/>
  <c r="E7" i="83" a="1"/>
  <c r="E258" i="109" a="1"/>
  <c r="E7" i="97" a="1"/>
  <c r="E178" i="81" a="1"/>
  <c r="E151" i="109" a="1"/>
  <c r="O7" i="110" a="1"/>
  <c r="E100" i="109" a="1"/>
  <c r="E118" i="89" a="1"/>
  <c r="E7" i="81" a="1"/>
  <c r="O26" i="110" a="1"/>
  <c r="E43" i="89" a="1"/>
  <c r="E7" i="110" a="1"/>
  <c r="E7" i="104" a="1"/>
  <c r="E7" i="88" a="1"/>
  <c r="E35" i="77" a="1"/>
  <c r="O79" i="110" a="1"/>
  <c r="E323" i="109" a="1"/>
  <c r="L8" i="97" a="1"/>
  <c r="E7" i="82" a="1"/>
  <c r="E203" i="109" a="1"/>
  <c r="L7" i="96" a="1"/>
  <c r="E218" i="81" a="1"/>
  <c r="E83" i="90" a="1"/>
  <c r="E61" i="110" a="1"/>
  <c r="E90" i="89" a="1"/>
  <c r="E79" i="110" a="1"/>
  <c r="E188" i="109" a="1"/>
  <c r="E42" i="81" a="1"/>
  <c r="E136" i="81" a="1"/>
  <c r="E540" i="109" a="1"/>
  <c r="E94" i="77" a="1"/>
  <c r="E26" i="110" a="1"/>
  <c r="O27" i="103" a="1"/>
  <c r="E7" i="87" a="1"/>
  <c r="D128" i="79" l="1"/>
  <c r="U93" i="81"/>
  <c r="W23" i="80"/>
  <c r="S22" i="84" a="1"/>
  <c r="S22" i="84" s="1"/>
  <c r="F21" i="84"/>
  <c r="K20" i="84" a="1"/>
  <c r="K20" i="84" s="1"/>
  <c r="N19" i="84" a="1"/>
  <c r="N19" i="84" s="1"/>
  <c r="Q18" i="84" a="1"/>
  <c r="Q18" i="84" s="1"/>
  <c r="R22" i="84" a="1"/>
  <c r="R22" i="84" s="1"/>
  <c r="P22" i="84" a="1"/>
  <c r="P22" i="84" s="1"/>
  <c r="S21" i="84" a="1"/>
  <c r="S21" i="84" s="1"/>
  <c r="F20" i="84"/>
  <c r="K19" i="84" a="1"/>
  <c r="K19" i="84" s="1"/>
  <c r="N18" i="84" a="1"/>
  <c r="N18" i="84" s="1"/>
  <c r="Y221" i="109" s="1" a="1"/>
  <c r="N22" i="84" a="1"/>
  <c r="N22" i="84" s="1"/>
  <c r="Q21" i="84" a="1"/>
  <c r="Q21" i="84" s="1"/>
  <c r="T20" i="84" a="1"/>
  <c r="T20" i="84" s="1"/>
  <c r="W19" i="84"/>
  <c r="G19" i="84"/>
  <c r="L18" i="84" a="1"/>
  <c r="L18" i="84" s="1"/>
  <c r="K22" i="84" a="1"/>
  <c r="K22" i="84" s="1"/>
  <c r="N21" i="84" a="1"/>
  <c r="N21" i="84" s="1"/>
  <c r="Q20" i="84" a="1"/>
  <c r="Q20" i="84" s="1"/>
  <c r="T19" i="84" a="1"/>
  <c r="T19" i="84" s="1"/>
  <c r="W18" i="84"/>
  <c r="G18" i="84"/>
  <c r="O22" i="84" a="1"/>
  <c r="O22" i="84" s="1"/>
  <c r="L21" i="84" a="1"/>
  <c r="L21" i="84" s="1"/>
  <c r="J20" i="84" a="1"/>
  <c r="J20" i="84" s="1"/>
  <c r="X18" i="84"/>
  <c r="M22" i="84" a="1"/>
  <c r="M22" i="84" s="1"/>
  <c r="K21" i="84" a="1"/>
  <c r="K21" i="84" s="1"/>
  <c r="G20" i="84"/>
  <c r="L22" i="84" a="1"/>
  <c r="L22" i="84" s="1"/>
  <c r="J21" i="84" a="1"/>
  <c r="J21" i="84" s="1"/>
  <c r="X19" i="84"/>
  <c r="U18" i="84" a="1"/>
  <c r="U18" i="84" s="1"/>
  <c r="J22" i="84" a="1"/>
  <c r="J22" i="84" s="1"/>
  <c r="G21" i="84"/>
  <c r="T18" i="84" a="1"/>
  <c r="T18" i="84" s="1"/>
  <c r="AK221" i="109" s="1" a="1"/>
  <c r="G22" i="84"/>
  <c r="X20" i="84"/>
  <c r="U19" i="84" a="1"/>
  <c r="U19" i="84" s="1"/>
  <c r="S18" i="84" a="1"/>
  <c r="S18" i="84" s="1"/>
  <c r="F22" i="84"/>
  <c r="W20" i="84"/>
  <c r="S19" i="84" a="1"/>
  <c r="S19" i="84" s="1"/>
  <c r="R18" i="84" a="1"/>
  <c r="R18" i="84" s="1"/>
  <c r="X21" i="84"/>
  <c r="U20" i="84" a="1"/>
  <c r="U20" i="84" s="1"/>
  <c r="R19" i="84" a="1"/>
  <c r="R19" i="84" s="1"/>
  <c r="P18" i="84" a="1"/>
  <c r="P18" i="84" s="1"/>
  <c r="AC221" i="109" s="1" a="1"/>
  <c r="W21" i="84"/>
  <c r="S20" i="84" a="1"/>
  <c r="S20" i="84" s="1"/>
  <c r="Q19" i="84" a="1"/>
  <c r="Q19" i="84" s="1"/>
  <c r="O18" i="84" a="1"/>
  <c r="O18" i="84" s="1"/>
  <c r="Z221" i="109" s="1" a="1"/>
  <c r="Z221" i="109" s="1"/>
  <c r="X22" i="84"/>
  <c r="U21" i="84" a="1"/>
  <c r="U21" i="84" s="1"/>
  <c r="R20" i="84" a="1"/>
  <c r="R20" i="84" s="1"/>
  <c r="P19" i="84" a="1"/>
  <c r="P19" i="84" s="1"/>
  <c r="M18" i="84" a="1"/>
  <c r="M18" i="84" s="1"/>
  <c r="W22" i="84"/>
  <c r="T21" i="84" a="1"/>
  <c r="T21" i="84" s="1"/>
  <c r="P20" i="84" a="1"/>
  <c r="P20" i="84" s="1"/>
  <c r="O19" i="84" a="1"/>
  <c r="O19" i="84" s="1"/>
  <c r="K18" i="84" a="1"/>
  <c r="K18" i="84" s="1"/>
  <c r="R21" i="84" a="1"/>
  <c r="R21" i="84" s="1"/>
  <c r="O20" i="84" a="1"/>
  <c r="O20" i="84" s="1"/>
  <c r="M19" i="84" a="1"/>
  <c r="M19" i="84" s="1"/>
  <c r="J18" i="84" a="1"/>
  <c r="J18" i="84" s="1"/>
  <c r="Q221" i="109" s="1" a="1"/>
  <c r="U22" i="84" a="1"/>
  <c r="U22" i="84" s="1"/>
  <c r="P21" i="84" a="1"/>
  <c r="P21" i="84" s="1"/>
  <c r="N20" i="84" a="1"/>
  <c r="N20" i="84" s="1"/>
  <c r="L19" i="84" a="1"/>
  <c r="L19" i="84" s="1"/>
  <c r="F18" i="84"/>
  <c r="T22" i="84" a="1"/>
  <c r="T22" i="84" s="1"/>
  <c r="O21" i="84" a="1"/>
  <c r="O21" i="84" s="1"/>
  <c r="M20" i="84" a="1"/>
  <c r="M20" i="84" s="1"/>
  <c r="J19" i="84" a="1"/>
  <c r="J19" i="84" s="1"/>
  <c r="Q22" i="84" a="1"/>
  <c r="Q22" i="84" s="1"/>
  <c r="M21" i="84" a="1"/>
  <c r="M21" i="84" s="1"/>
  <c r="L20" i="84" a="1"/>
  <c r="L20" i="84" s="1"/>
  <c r="F19" i="84"/>
  <c r="G26" i="84"/>
  <c r="E237" i="109" s="1" a="1"/>
  <c r="P50" i="85" a="1"/>
  <c r="P50" i="85" s="1"/>
  <c r="J49" i="84"/>
  <c r="L25" i="97" a="1"/>
  <c r="L25" i="97" s="1"/>
  <c r="M25" i="97" a="1"/>
  <c r="M25" i="97" s="1"/>
  <c r="M27" i="96" a="1"/>
  <c r="M27" i="96" s="1"/>
  <c r="M32" i="96" a="1"/>
  <c r="M32" i="96" s="1"/>
  <c r="I38" i="97"/>
  <c r="H38" i="97"/>
  <c r="K38" i="97"/>
  <c r="J38" i="97"/>
  <c r="G38" i="97"/>
  <c r="M28" i="97" a="1"/>
  <c r="M28" i="97" s="1"/>
  <c r="M40" i="97" a="1"/>
  <c r="M40" i="97" s="1"/>
  <c r="L34" i="96" a="1"/>
  <c r="L34" i="96" s="1"/>
  <c r="M34" i="96" a="1"/>
  <c r="M34" i="96" s="1"/>
  <c r="M35" i="97" a="1"/>
  <c r="M35" i="97" s="1"/>
  <c r="G32" i="97"/>
  <c r="J32" i="97"/>
  <c r="I32" i="97"/>
  <c r="H32" i="97"/>
  <c r="K32" i="97"/>
  <c r="L25" i="96" a="1"/>
  <c r="L25" i="96" s="1"/>
  <c r="M25" i="96" a="1"/>
  <c r="M25" i="96" s="1"/>
  <c r="D56" i="106"/>
  <c r="D136" i="109" s="1"/>
  <c r="F136" i="109" s="1" a="1"/>
  <c r="F136" i="109" s="1"/>
  <c r="D139" i="109"/>
  <c r="F139" i="109" s="1" a="1"/>
  <c r="F139" i="109" s="1"/>
  <c r="D138" i="109"/>
  <c r="F138" i="109" s="1" a="1"/>
  <c r="F138" i="109" s="1"/>
  <c r="D137" i="109"/>
  <c r="F137" i="109" s="1" a="1"/>
  <c r="F137" i="109" s="1"/>
  <c r="AE242" i="109" a="1"/>
  <c r="AE242" i="109" s="1"/>
  <c r="K27" i="97"/>
  <c r="J27" i="97"/>
  <c r="H27" i="97"/>
  <c r="I27" i="97"/>
  <c r="G27" i="97"/>
  <c r="L37" i="96" a="1"/>
  <c r="L37" i="96" s="1"/>
  <c r="M37" i="96" a="1"/>
  <c r="M37" i="96" s="1"/>
  <c r="T14" i="103"/>
  <c r="E20" i="102"/>
  <c r="M33" i="97" a="1"/>
  <c r="M33" i="97" s="1"/>
  <c r="M30" i="97" a="1"/>
  <c r="M30" i="97" s="1"/>
  <c r="E59" i="100"/>
  <c r="H59" i="100" s="1" a="1"/>
  <c r="H59" i="100" s="1"/>
  <c r="H88" i="100" a="1"/>
  <c r="H88" i="100" s="1"/>
  <c r="H79" i="100" a="1"/>
  <c r="H79" i="100" s="1"/>
  <c r="H72" i="100" a="1"/>
  <c r="H72" i="100" s="1"/>
  <c r="H64" i="100" a="1"/>
  <c r="H64" i="100" s="1"/>
  <c r="H91" i="100" a="1"/>
  <c r="H91" i="100" s="1"/>
  <c r="H83" i="100" a="1"/>
  <c r="H83" i="100" s="1"/>
  <c r="H75" i="100" a="1"/>
  <c r="H75" i="100" s="1"/>
  <c r="H67" i="100" a="1"/>
  <c r="H67" i="100" s="1"/>
  <c r="H60" i="100" a="1"/>
  <c r="H60" i="100" s="1"/>
  <c r="H90" i="100" a="1"/>
  <c r="H90" i="100" s="1"/>
  <c r="H82" i="100" a="1"/>
  <c r="H82" i="100" s="1"/>
  <c r="H74" i="100" a="1"/>
  <c r="H74" i="100" s="1"/>
  <c r="H66" i="100" a="1"/>
  <c r="H66" i="100" s="1"/>
  <c r="H69" i="100" a="1"/>
  <c r="H69" i="100" s="1"/>
  <c r="H89" i="100" a="1"/>
  <c r="H89" i="100" s="1"/>
  <c r="H68" i="100" a="1"/>
  <c r="H68" i="100" s="1"/>
  <c r="H86" i="100" a="1"/>
  <c r="H86" i="100" s="1"/>
  <c r="H85" i="100" a="1"/>
  <c r="H85" i="100" s="1"/>
  <c r="H65" i="100" a="1"/>
  <c r="H65" i="100" s="1"/>
  <c r="H84" i="100" a="1"/>
  <c r="H84" i="100" s="1"/>
  <c r="H63" i="100" a="1"/>
  <c r="H63" i="100" s="1"/>
  <c r="H80" i="100" a="1"/>
  <c r="H80" i="100" s="1"/>
  <c r="H62" i="100" a="1"/>
  <c r="H62" i="100" s="1"/>
  <c r="H78" i="100" a="1"/>
  <c r="H78" i="100" s="1"/>
  <c r="H61" i="100" a="1"/>
  <c r="H61" i="100" s="1"/>
  <c r="H77" i="100" a="1"/>
  <c r="H77" i="100" s="1"/>
  <c r="H76" i="100" a="1"/>
  <c r="H76" i="100" s="1"/>
  <c r="H73" i="100" a="1"/>
  <c r="H73" i="100" s="1"/>
  <c r="H92" i="100" a="1"/>
  <c r="H92" i="100" s="1"/>
  <c r="H71" i="100" a="1"/>
  <c r="H71" i="100" s="1"/>
  <c r="M124" i="76"/>
  <c r="M37" i="97" a="1"/>
  <c r="M37" i="97" s="1"/>
  <c r="L123" i="79"/>
  <c r="M26" i="96" a="1"/>
  <c r="M26" i="96" s="1"/>
  <c r="M30" i="96" a="1"/>
  <c r="M30" i="96" s="1"/>
  <c r="L30" i="96" a="1"/>
  <c r="L30" i="96" s="1"/>
  <c r="O30" i="96" s="1" a="1"/>
  <c r="O30" i="96" s="1"/>
  <c r="I33" i="110"/>
  <c r="I97" i="89"/>
  <c r="F106" i="89" s="1" a="1"/>
  <c r="F106" i="89" s="1"/>
  <c r="E138" i="89" s="1"/>
  <c r="L161" i="81" a="1"/>
  <c r="L161" i="81" s="1"/>
  <c r="L31" i="97" a="1"/>
  <c r="L31" i="97" s="1"/>
  <c r="M31" i="97" a="1"/>
  <c r="M31" i="97" s="1"/>
  <c r="X22" i="80"/>
  <c r="AC33" i="80" s="1" a="1"/>
  <c r="AC33" i="80" s="1"/>
  <c r="V92" i="81"/>
  <c r="G176" i="111"/>
  <c r="G175" i="111"/>
  <c r="G177" i="111"/>
  <c r="G174" i="111"/>
  <c r="I176" i="111"/>
  <c r="H196" i="111"/>
  <c r="E112" i="89"/>
  <c r="F112" i="89" s="1" a="1"/>
  <c r="F112" i="89" s="1"/>
  <c r="E144" i="89" s="1"/>
  <c r="E75" i="90"/>
  <c r="L124" i="76"/>
  <c r="E39" i="109" a="1"/>
  <c r="E39" i="109" s="1"/>
  <c r="I175" i="111"/>
  <c r="H195" i="111"/>
  <c r="I57" i="90"/>
  <c r="I69" i="110"/>
  <c r="I15" i="90"/>
  <c r="X33" i="80" a="1"/>
  <c r="X33" i="80" s="1"/>
  <c r="Y33" i="80" s="1" a="1"/>
  <c r="Y33" i="80" s="1"/>
  <c r="AD33" i="80" s="1" a="1"/>
  <c r="AD33" i="80" s="1"/>
  <c r="I80" i="81" a="1"/>
  <c r="I80" i="81" s="1"/>
  <c r="E74" i="90"/>
  <c r="E111" i="89"/>
  <c r="F111" i="89" s="1" a="1"/>
  <c r="F111" i="89" s="1"/>
  <c r="E143" i="89" s="1"/>
  <c r="L163" i="81" a="1"/>
  <c r="L163" i="81" s="1"/>
  <c r="F162" i="81" a="1"/>
  <c r="F162" i="81" s="1"/>
  <c r="I81" i="81" a="1"/>
  <c r="I81" i="81" s="1"/>
  <c r="L162" i="81" a="1"/>
  <c r="L162" i="81" s="1"/>
  <c r="L124" i="79"/>
  <c r="M121" i="79"/>
  <c r="X34" i="80" a="1"/>
  <c r="X34" i="80" s="1"/>
  <c r="Y34" i="80" s="1" a="1"/>
  <c r="Y34" i="80" s="1"/>
  <c r="F105" i="89" a="1"/>
  <c r="F105" i="89" s="1"/>
  <c r="E137" i="89" s="1"/>
  <c r="L34" i="97" a="1"/>
  <c r="L34" i="97" s="1"/>
  <c r="M34" i="97" a="1"/>
  <c r="M34" i="97" s="1"/>
  <c r="M31" i="96" a="1"/>
  <c r="M31" i="96" s="1"/>
  <c r="E22" i="72"/>
  <c r="G195" i="111"/>
  <c r="G197" i="111"/>
  <c r="G196" i="111"/>
  <c r="AE245" i="109" s="1" a="1"/>
  <c r="AE245" i="109" s="1"/>
  <c r="G194" i="111"/>
  <c r="J15" i="77" a="1"/>
  <c r="J15" i="77" s="1"/>
  <c r="M121" i="76"/>
  <c r="W22" i="80"/>
  <c r="X31" i="80" s="1" a="1"/>
  <c r="X31" i="80" s="1"/>
  <c r="Y31" i="80" s="1" a="1"/>
  <c r="Y31" i="80" s="1"/>
  <c r="U92" i="81"/>
  <c r="V102" i="81" s="1" a="1"/>
  <c r="V102" i="81" s="1"/>
  <c r="W102" i="81" s="1" a="1"/>
  <c r="W102" i="81" s="1"/>
  <c r="I48" i="84"/>
  <c r="F20" i="87" a="1"/>
  <c r="F20" i="87" s="1"/>
  <c r="G20" i="87" a="1"/>
  <c r="D59" i="89" a="1"/>
  <c r="D59" i="89" s="1"/>
  <c r="D51" i="106"/>
  <c r="D162" i="109" s="1"/>
  <c r="F162" i="109" s="1" a="1"/>
  <c r="F162" i="109" s="1"/>
  <c r="D164" i="109"/>
  <c r="F164" i="109" s="1" a="1"/>
  <c r="F164" i="109" s="1"/>
  <c r="D163" i="109"/>
  <c r="F163" i="109" s="1" a="1"/>
  <c r="F163" i="109" s="1"/>
  <c r="K30" i="97"/>
  <c r="I30" i="97"/>
  <c r="G30" i="97"/>
  <c r="I39" i="97"/>
  <c r="G39" i="97"/>
  <c r="E107" i="89"/>
  <c r="F107" i="89" s="1" a="1"/>
  <c r="F107" i="89" s="1"/>
  <c r="E139" i="89" s="1"/>
  <c r="K27" i="96" a="1"/>
  <c r="K27" i="96" s="1"/>
  <c r="G30" i="96" a="1"/>
  <c r="G30" i="96" s="1"/>
  <c r="J32" i="96" a="1"/>
  <c r="J32" i="96" s="1"/>
  <c r="L27" i="97" a="1"/>
  <c r="L27" i="97" s="1"/>
  <c r="H30" i="97"/>
  <c r="M38" i="97" a="1"/>
  <c r="M38" i="97" s="1"/>
  <c r="G435" i="109" a="1"/>
  <c r="G435" i="109" s="1"/>
  <c r="H435" i="109" s="1" a="1"/>
  <c r="H435" i="109" s="1"/>
  <c r="G367" i="109" a="1"/>
  <c r="G367" i="109" s="1"/>
  <c r="G375" i="109" a="1"/>
  <c r="G375" i="109" s="1"/>
  <c r="D60" i="85" a="1"/>
  <c r="D60" i="85" s="1"/>
  <c r="D58" i="86" a="1"/>
  <c r="D58" i="86" s="1"/>
  <c r="E108" i="89"/>
  <c r="I30" i="96" a="1"/>
  <c r="I30" i="96" s="1"/>
  <c r="K32" i="96" a="1"/>
  <c r="K32" i="96" s="1"/>
  <c r="G35" i="96" a="1"/>
  <c r="G35" i="96" s="1"/>
  <c r="K37" i="96" a="1"/>
  <c r="K37" i="96" s="1"/>
  <c r="E25" i="97"/>
  <c r="J30" i="97"/>
  <c r="G36" i="97"/>
  <c r="H39" i="97"/>
  <c r="I24" i="109" a="1"/>
  <c r="I24" i="109" s="1"/>
  <c r="E300" i="109" a="1"/>
  <c r="E300" i="109" s="1"/>
  <c r="G371" i="109" a="1"/>
  <c r="G371" i="109" s="1"/>
  <c r="E116" i="100" a="1"/>
  <c r="E116" i="100" s="1"/>
  <c r="E26" i="97"/>
  <c r="E33" i="97"/>
  <c r="M32" i="97" a="1"/>
  <c r="M32" i="97" s="1"/>
  <c r="I21" i="95"/>
  <c r="L39" i="96" s="1" a="1"/>
  <c r="L39" i="96" s="1"/>
  <c r="E109" i="89"/>
  <c r="F109" i="89" s="1" a="1"/>
  <c r="F109" i="89" s="1"/>
  <c r="E141" i="89" s="1"/>
  <c r="H25" i="96" a="1"/>
  <c r="H25" i="96" s="1"/>
  <c r="G28" i="96" a="1"/>
  <c r="G28" i="96" s="1"/>
  <c r="K30" i="96" a="1"/>
  <c r="K30" i="96" s="1"/>
  <c r="H35" i="96" a="1"/>
  <c r="H35" i="96" s="1"/>
  <c r="E28" i="97"/>
  <c r="I36" i="97"/>
  <c r="J39" i="97"/>
  <c r="I25" i="109" a="1"/>
  <c r="I25" i="109" s="1"/>
  <c r="M25" i="109" s="1" a="1"/>
  <c r="M25" i="109" s="1"/>
  <c r="AE239" i="109" a="1"/>
  <c r="AE239" i="109" s="1"/>
  <c r="E302" i="109" a="1"/>
  <c r="E302" i="109" s="1"/>
  <c r="G372" i="109" a="1"/>
  <c r="G372" i="109" s="1"/>
  <c r="J372" i="109" s="1" a="1"/>
  <c r="J372" i="109" s="1"/>
  <c r="J87" i="110"/>
  <c r="J116" i="100" a="1"/>
  <c r="J116" i="100" s="1"/>
  <c r="E38" i="96"/>
  <c r="E26" i="96"/>
  <c r="W92" i="81"/>
  <c r="E110" i="89"/>
  <c r="F110" i="89" s="1" a="1"/>
  <c r="F110" i="89" s="1"/>
  <c r="E142" i="89" s="1"/>
  <c r="H28" i="96" a="1"/>
  <c r="H28" i="96" s="1"/>
  <c r="I35" i="96" a="1"/>
  <c r="I35" i="96" s="1"/>
  <c r="E31" i="97"/>
  <c r="I29" i="109" a="1"/>
  <c r="I29" i="109" s="1"/>
  <c r="G373" i="109" a="1"/>
  <c r="G373" i="109" s="1"/>
  <c r="E448" i="109"/>
  <c r="G448" i="109" s="1" a="1"/>
  <c r="G448" i="109" s="1"/>
  <c r="G450" i="109" a="1"/>
  <c r="G450" i="109" s="1"/>
  <c r="H450" i="109" s="1" a="1"/>
  <c r="H450" i="109" s="1"/>
  <c r="G449" i="109" a="1"/>
  <c r="G449" i="109" s="1"/>
  <c r="H449" i="109" s="1" a="1"/>
  <c r="H449" i="109" s="1"/>
  <c r="G457" i="109" a="1"/>
  <c r="G457" i="109" s="1"/>
  <c r="J457" i="109" s="1" a="1"/>
  <c r="J457" i="109" s="1"/>
  <c r="G456" i="109" a="1"/>
  <c r="G456" i="109" s="1"/>
  <c r="G455" i="109" a="1"/>
  <c r="G455" i="109" s="1"/>
  <c r="D59" i="100" a="1"/>
  <c r="M28" i="96" a="1"/>
  <c r="M28" i="96" s="1"/>
  <c r="O237" i="109"/>
  <c r="I530" i="109" a="1"/>
  <c r="I530" i="109" s="1"/>
  <c r="J25" i="96" a="1"/>
  <c r="J25" i="96" s="1"/>
  <c r="I28" i="96" a="1"/>
  <c r="I28" i="96" s="1"/>
  <c r="E33" i="96"/>
  <c r="J35" i="96" a="1"/>
  <c r="J35" i="96" s="1"/>
  <c r="E37" i="97"/>
  <c r="I31" i="109" a="1"/>
  <c r="I31" i="109" s="1"/>
  <c r="Y119" i="109"/>
  <c r="AE240" i="109" a="1"/>
  <c r="AE240" i="109" s="1"/>
  <c r="F305" i="109" a="1"/>
  <c r="F305" i="109" s="1"/>
  <c r="G374" i="109" a="1"/>
  <c r="G374" i="109" s="1"/>
  <c r="E21" i="100" a="1"/>
  <c r="Z22" i="80"/>
  <c r="J28" i="96" a="1"/>
  <c r="J28" i="96" s="1"/>
  <c r="K35" i="96" a="1"/>
  <c r="K35" i="96" s="1"/>
  <c r="I38" i="96" a="1"/>
  <c r="I38" i="96" s="1"/>
  <c r="E34" i="97"/>
  <c r="G40" i="97"/>
  <c r="U237" i="109"/>
  <c r="W238" i="109" a="1"/>
  <c r="W238" i="109" s="1"/>
  <c r="G305" i="109" a="1"/>
  <c r="G305" i="109" s="1"/>
  <c r="I174" i="111"/>
  <c r="J36" i="97"/>
  <c r="H36" i="97"/>
  <c r="M36" i="97" a="1"/>
  <c r="M36" i="97" s="1"/>
  <c r="L36" i="97" a="1"/>
  <c r="L36" i="97" s="1"/>
  <c r="P27" i="84"/>
  <c r="K28" i="96" a="1"/>
  <c r="K28" i="96" s="1"/>
  <c r="G31" i="96" a="1"/>
  <c r="G31" i="96" s="1"/>
  <c r="I33" i="96" a="1"/>
  <c r="I33" i="96" s="1"/>
  <c r="G451" i="109" a="1"/>
  <c r="G451" i="109" s="1"/>
  <c r="J40" i="97"/>
  <c r="M26" i="97" a="1"/>
  <c r="M26" i="97" s="1"/>
  <c r="J160" i="100" a="1"/>
  <c r="J160" i="100" s="1"/>
  <c r="J176" i="100" a="1"/>
  <c r="J176" i="100" s="1"/>
  <c r="J144" i="100" a="1"/>
  <c r="J144" i="100" s="1"/>
  <c r="J124" i="100" a="1"/>
  <c r="J124" i="100" s="1"/>
  <c r="J117" i="100" a="1"/>
  <c r="J117" i="100" s="1"/>
  <c r="J166" i="100" a="1"/>
  <c r="J166" i="100" s="1"/>
  <c r="J158" i="100" a="1"/>
  <c r="J158" i="100" s="1"/>
  <c r="J132" i="100" a="1"/>
  <c r="J132" i="100" s="1"/>
  <c r="J157" i="100" a="1"/>
  <c r="J157" i="100" s="1"/>
  <c r="D116" i="100" a="1"/>
  <c r="D116" i="100" s="1"/>
  <c r="J173" i="100" a="1"/>
  <c r="J173" i="100" s="1"/>
  <c r="J138" i="100" a="1"/>
  <c r="J138" i="100" s="1"/>
  <c r="J121" i="100" a="1"/>
  <c r="J121" i="100" s="1"/>
  <c r="J163" i="100" a="1"/>
  <c r="J163" i="100" s="1"/>
  <c r="J137" i="100" a="1"/>
  <c r="J137" i="100" s="1"/>
  <c r="D21" i="100" a="1"/>
  <c r="D157" i="100" a="1"/>
  <c r="D157" i="100" s="1"/>
  <c r="J162" i="100" a="1"/>
  <c r="J162" i="100" s="1"/>
  <c r="J136" i="100" a="1"/>
  <c r="J136" i="100" s="1"/>
  <c r="J178" i="100" a="1"/>
  <c r="J178" i="100" s="1"/>
  <c r="J126" i="100" a="1"/>
  <c r="J126" i="100" s="1"/>
  <c r="J119" i="100" a="1"/>
  <c r="J119" i="100" s="1"/>
  <c r="G438" i="109" a="1"/>
  <c r="G438" i="109" s="1"/>
  <c r="J438" i="109" s="1" a="1"/>
  <c r="J438" i="109" s="1"/>
  <c r="G436" i="109" a="1"/>
  <c r="G436" i="109" s="1"/>
  <c r="P28" i="84"/>
  <c r="D23" i="90" a="1"/>
  <c r="D23" i="90" s="1"/>
  <c r="H26" i="96" a="1"/>
  <c r="H26" i="96" s="1"/>
  <c r="H31" i="96" a="1"/>
  <c r="H31" i="96" s="1"/>
  <c r="G36" i="96" a="1"/>
  <c r="G36" i="96" s="1"/>
  <c r="E29" i="97"/>
  <c r="I40" i="97"/>
  <c r="G452" i="109" a="1"/>
  <c r="G452" i="109" s="1"/>
  <c r="H452" i="109" s="1" a="1"/>
  <c r="H452" i="109" s="1"/>
  <c r="J125" i="100" a="1"/>
  <c r="J125" i="100" s="1"/>
  <c r="K39" i="96" a="1"/>
  <c r="K39" i="96" s="1"/>
  <c r="Q39" i="96" s="1" a="1"/>
  <c r="Q39" i="96" s="1"/>
  <c r="K36" i="96" a="1"/>
  <c r="K36" i="96" s="1"/>
  <c r="G32" i="96" a="1"/>
  <c r="G32" i="96" s="1"/>
  <c r="K29" i="96" a="1"/>
  <c r="K29" i="96" s="1"/>
  <c r="J26" i="96" a="1"/>
  <c r="J26" i="96" s="1"/>
  <c r="E25" i="96"/>
  <c r="G25" i="96" s="1" a="1"/>
  <c r="G25" i="96" s="1"/>
  <c r="J39" i="96" a="1"/>
  <c r="J39" i="96" s="1"/>
  <c r="J36" i="96" a="1"/>
  <c r="J36" i="96" s="1"/>
  <c r="J33" i="96" a="1"/>
  <c r="J33" i="96" s="1"/>
  <c r="J29" i="96" a="1"/>
  <c r="J29" i="96" s="1"/>
  <c r="I26" i="96" a="1"/>
  <c r="I26" i="96" s="1"/>
  <c r="H39" i="96" a="1"/>
  <c r="H39" i="96" s="1"/>
  <c r="H36" i="96" a="1"/>
  <c r="H36" i="96" s="1"/>
  <c r="H33" i="96" a="1"/>
  <c r="H33" i="96" s="1"/>
  <c r="H29" i="96" a="1"/>
  <c r="H29" i="96" s="1"/>
  <c r="G26" i="96" a="1"/>
  <c r="G26" i="96" s="1"/>
  <c r="J34" i="96" a="1"/>
  <c r="J34" i="96" s="1"/>
  <c r="J30" i="96" a="1"/>
  <c r="J30" i="96" s="1"/>
  <c r="J27" i="96" a="1"/>
  <c r="J27" i="96" s="1"/>
  <c r="H37" i="96" a="1"/>
  <c r="H37" i="96" s="1"/>
  <c r="H34" i="96" a="1"/>
  <c r="H34" i="96" s="1"/>
  <c r="H27" i="96" a="1"/>
  <c r="H27" i="96" s="1"/>
  <c r="G34" i="96" a="1"/>
  <c r="G34" i="96" s="1"/>
  <c r="J31" i="96" a="1"/>
  <c r="J31" i="96" s="1"/>
  <c r="H30" i="96" a="1"/>
  <c r="H30" i="96" s="1"/>
  <c r="G27" i="96" a="1"/>
  <c r="G27" i="96" s="1"/>
  <c r="K25" i="96" a="1"/>
  <c r="K25" i="96" s="1"/>
  <c r="I17" i="101"/>
  <c r="E157" i="100" a="1"/>
  <c r="E157" i="100" s="1"/>
  <c r="K90" i="111"/>
  <c r="M89" i="111" s="1"/>
  <c r="P122" i="109" a="1"/>
  <c r="P122" i="109" s="1"/>
  <c r="P125" i="109" a="1"/>
  <c r="P125" i="109" s="1"/>
  <c r="P128" i="109" a="1"/>
  <c r="P128" i="109" s="1"/>
  <c r="P121" i="109" a="1"/>
  <c r="P121" i="109" s="1"/>
  <c r="P124" i="109" a="1"/>
  <c r="P124" i="109" s="1"/>
  <c r="P119" i="109" a="1"/>
  <c r="P119" i="109" s="1"/>
  <c r="P127" i="109" a="1"/>
  <c r="P127" i="109" s="1"/>
  <c r="P120" i="109" a="1"/>
  <c r="P120" i="109" s="1"/>
  <c r="K26" i="96" a="1"/>
  <c r="K26" i="96" s="1"/>
  <c r="G29" i="96" a="1"/>
  <c r="G29" i="96" s="1"/>
  <c r="I31" i="96" a="1"/>
  <c r="I31" i="96" s="1"/>
  <c r="I36" i="96" a="1"/>
  <c r="I36" i="96" s="1"/>
  <c r="AB127" i="109" a="1"/>
  <c r="AB127" i="109" s="1"/>
  <c r="G453" i="109" a="1"/>
  <c r="G453" i="109" s="1"/>
  <c r="H453" i="109" s="1" a="1"/>
  <c r="H453" i="109" s="1"/>
  <c r="M35" i="96" a="1"/>
  <c r="M35" i="96" s="1"/>
  <c r="L35" i="96" a="1"/>
  <c r="L35" i="96" s="1"/>
  <c r="E68" i="90"/>
  <c r="I29" i="96" a="1"/>
  <c r="I29" i="96" s="1"/>
  <c r="K31" i="96" a="1"/>
  <c r="K31" i="96" s="1"/>
  <c r="G430" i="109" a="1"/>
  <c r="G430" i="109" s="1"/>
  <c r="G454" i="109" a="1"/>
  <c r="G454" i="109" s="1"/>
  <c r="G183" i="111"/>
  <c r="W240" i="109" s="1" a="1"/>
  <c r="W240" i="109" s="1"/>
  <c r="L12" i="106"/>
  <c r="L19" i="106"/>
  <c r="G39" i="96" a="1"/>
  <c r="G39" i="96" s="1"/>
  <c r="K39" i="97" a="1"/>
  <c r="K39" i="97" s="1"/>
  <c r="K40" i="97" a="1"/>
  <c r="K40" i="97" s="1"/>
  <c r="M38" i="96" a="1"/>
  <c r="M38" i="96" s="1"/>
  <c r="O19" i="106"/>
  <c r="D270" i="109" a="1"/>
  <c r="E69" i="90"/>
  <c r="I39" i="96" a="1"/>
  <c r="I39" i="96" s="1"/>
  <c r="AC237" i="109"/>
  <c r="AE241" i="109" a="1"/>
  <c r="AE241" i="109" s="1"/>
  <c r="G432" i="109" a="1"/>
  <c r="G432" i="109" s="1"/>
  <c r="J174" i="100" a="1"/>
  <c r="J174" i="100" s="1"/>
  <c r="J15" i="80" a="1"/>
  <c r="J15" i="80" s="1"/>
  <c r="D126" i="76"/>
  <c r="V22" i="77"/>
  <c r="E76" i="109" a="1"/>
  <c r="E76" i="109" s="1"/>
  <c r="G87" i="109" s="1" a="1"/>
  <c r="G87" i="109" s="1"/>
  <c r="E58" i="109" a="1"/>
  <c r="E58" i="109" s="1"/>
  <c r="I32" i="109" a="1"/>
  <c r="I32" i="109" s="1"/>
  <c r="I30" i="109" a="1"/>
  <c r="I30" i="109" s="1"/>
  <c r="I28" i="109" a="1"/>
  <c r="I28" i="109" s="1"/>
  <c r="I27" i="109" a="1"/>
  <c r="I27" i="109" s="1"/>
  <c r="I26" i="109" a="1"/>
  <c r="I26" i="109" s="1"/>
  <c r="X39" i="80" a="1"/>
  <c r="X39" i="80" s="1"/>
  <c r="D19" i="89" a="1"/>
  <c r="D19" i="86" a="1"/>
  <c r="D19" i="85" a="1"/>
  <c r="P26" i="84"/>
  <c r="O50" i="85" s="1" a="1"/>
  <c r="H35" i="97"/>
  <c r="G35" i="97"/>
  <c r="R13" i="106"/>
  <c r="E25" i="88" a="1"/>
  <c r="E25" i="88" s="1"/>
  <c r="H32" i="96" a="1"/>
  <c r="H32" i="96" s="1"/>
  <c r="I34" i="96" a="1"/>
  <c r="I34" i="96" s="1"/>
  <c r="E37" i="96"/>
  <c r="J37" i="96" s="1" a="1"/>
  <c r="J37" i="96" s="1"/>
  <c r="L29" i="97" a="1"/>
  <c r="L29" i="97" s="1"/>
  <c r="J35" i="97"/>
  <c r="AA244" i="109" a="1"/>
  <c r="AA244" i="109" s="1"/>
  <c r="G433" i="109" a="1"/>
  <c r="G433" i="109" s="1"/>
  <c r="J135" i="100" a="1"/>
  <c r="J135" i="100" s="1"/>
  <c r="J175" i="100" a="1"/>
  <c r="J175" i="100" s="1"/>
  <c r="I177" i="111"/>
  <c r="H197" i="111"/>
  <c r="J18" i="103" a="1"/>
  <c r="J18" i="103" s="1"/>
  <c r="I27" i="96" a="1"/>
  <c r="I27" i="96" s="1"/>
  <c r="I32" i="96" a="1"/>
  <c r="I32" i="96" s="1"/>
  <c r="K34" i="96" a="1"/>
  <c r="K34" i="96" s="1"/>
  <c r="K35" i="97"/>
  <c r="I23" i="109" a="1"/>
  <c r="I23" i="109" s="1"/>
  <c r="P123" i="109" a="1"/>
  <c r="P123" i="109" s="1"/>
  <c r="G434" i="109" a="1"/>
  <c r="G434" i="109" s="1"/>
  <c r="J177" i="100" a="1"/>
  <c r="J177" i="100" s="1"/>
  <c r="T120" i="109" a="1"/>
  <c r="T120" i="109" s="1"/>
  <c r="G376" i="109" a="1"/>
  <c r="G376" i="109" s="1"/>
  <c r="J376" i="109" s="1" a="1"/>
  <c r="J376" i="109" s="1"/>
  <c r="G437" i="109" a="1"/>
  <c r="G437" i="109" s="1"/>
  <c r="S239" i="109" a="1"/>
  <c r="S239" i="109" s="1"/>
  <c r="I18" i="95"/>
  <c r="L32" i="97" s="1" a="1"/>
  <c r="L32" i="97" s="1"/>
  <c r="I19" i="95"/>
  <c r="S240" i="109" a="1"/>
  <c r="S240" i="109" s="1"/>
  <c r="G369" i="109" a="1"/>
  <c r="G369" i="109" s="1"/>
  <c r="J369" i="109" s="1" a="1"/>
  <c r="J369" i="109" s="1"/>
  <c r="G370" i="109" a="1"/>
  <c r="G370" i="109" s="1"/>
  <c r="G431" i="109" a="1"/>
  <c r="G431" i="109" s="1"/>
  <c r="H431" i="109" s="1" a="1"/>
  <c r="H431" i="109" s="1"/>
  <c r="H162" i="81" a="1"/>
  <c r="H162" i="81" s="1"/>
  <c r="F163" i="81" a="1"/>
  <c r="F163" i="81" s="1"/>
  <c r="H163" i="81" a="1"/>
  <c r="H163" i="81" s="1"/>
  <c r="F164" i="81" a="1"/>
  <c r="F164" i="81" s="1"/>
  <c r="H164" i="81" a="1"/>
  <c r="H164" i="81" s="1"/>
  <c r="L164" i="81" a="1"/>
  <c r="L164" i="81" s="1"/>
  <c r="F161" i="81" a="1"/>
  <c r="F161" i="81" s="1"/>
  <c r="H161" i="81" a="1"/>
  <c r="H161" i="81" s="1"/>
  <c r="J14" i="80" a="1"/>
  <c r="J14" i="80" s="1"/>
  <c r="J14" i="77" a="1"/>
  <c r="J14" i="77" s="1"/>
  <c r="J14" i="103" a="1"/>
  <c r="J14" i="103" s="1"/>
  <c r="J15" i="103" a="1"/>
  <c r="J15" i="103" s="1"/>
  <c r="J16" i="103" a="1"/>
  <c r="J16" i="103" s="1"/>
  <c r="J17" i="103" a="1"/>
  <c r="J17" i="103" s="1"/>
  <c r="J609" i="109" a="1"/>
  <c r="J609" i="109" s="1"/>
  <c r="M23" i="109" a="1"/>
  <c r="M23" i="109" s="1"/>
  <c r="E41" i="92"/>
  <c r="G470" i="109" a="1"/>
  <c r="G470" i="109" s="1"/>
  <c r="G468" i="109" a="1"/>
  <c r="G468" i="109" s="1"/>
  <c r="G164" i="109" a="1"/>
  <c r="G164" i="109" s="1"/>
  <c r="G162" i="109" a="1"/>
  <c r="G162" i="109" s="1"/>
  <c r="G79" i="109" a="1"/>
  <c r="G79" i="109" s="1"/>
  <c r="E533" i="109" a="1"/>
  <c r="E533" i="109" s="1"/>
  <c r="G70" i="109" a="1"/>
  <c r="G70" i="109" s="1"/>
  <c r="G65" i="109" a="1"/>
  <c r="G65" i="109" s="1"/>
  <c r="G479" i="109" a="1"/>
  <c r="G479" i="109" s="1"/>
  <c r="J88" i="109" a="1"/>
  <c r="J88" i="109" s="1"/>
  <c r="E42" i="110"/>
  <c r="O79" i="110"/>
  <c r="O61" i="110"/>
  <c r="O42" i="110"/>
  <c r="E26" i="110"/>
  <c r="E7" i="110"/>
  <c r="O26" i="110"/>
  <c r="O7" i="110"/>
  <c r="E79" i="110"/>
  <c r="E61" i="110"/>
  <c r="P19" i="110"/>
  <c r="F19" i="110"/>
  <c r="P90" i="110"/>
  <c r="F90" i="110"/>
  <c r="F35" i="109"/>
  <c r="F94" i="109"/>
  <c r="F90" i="109"/>
  <c r="F54" i="109"/>
  <c r="P74" i="110"/>
  <c r="F74" i="110"/>
  <c r="P55" i="110"/>
  <c r="F55" i="110"/>
  <c r="J83" i="109" a="1"/>
  <c r="J83" i="109" s="1"/>
  <c r="G466" i="109" a="1"/>
  <c r="G466" i="109" s="1"/>
  <c r="G481" i="109" a="1"/>
  <c r="G481" i="109" s="1"/>
  <c r="G137" i="109" a="1"/>
  <c r="G137" i="109" s="1"/>
  <c r="G138" i="109" a="1"/>
  <c r="G138" i="109" s="1"/>
  <c r="G163" i="109" a="1"/>
  <c r="G163" i="109" s="1"/>
  <c r="E508" i="109"/>
  <c r="E290" i="109"/>
  <c r="E355" i="109"/>
  <c r="E7" i="109"/>
  <c r="E540" i="109"/>
  <c r="E100" i="109"/>
  <c r="E188" i="109"/>
  <c r="E151" i="109"/>
  <c r="E174" i="109"/>
  <c r="E203" i="109"/>
  <c r="E258" i="109"/>
  <c r="E323" i="109"/>
  <c r="E385" i="109"/>
  <c r="E523" i="109"/>
  <c r="E418" i="109"/>
  <c r="E561" i="109"/>
  <c r="E594" i="109"/>
  <c r="G136" i="109" a="1"/>
  <c r="G136" i="109" s="1"/>
  <c r="F252" i="109"/>
  <c r="F502" i="109"/>
  <c r="F379" i="109"/>
  <c r="F251" i="109"/>
  <c r="F484" i="109"/>
  <c r="F473" i="109"/>
  <c r="F533" i="109"/>
  <c r="F501" i="109"/>
  <c r="F378" i="109"/>
  <c r="F348" i="109"/>
  <c r="F249" i="109"/>
  <c r="F555" i="109"/>
  <c r="F483" i="109"/>
  <c r="F472" i="109"/>
  <c r="F460" i="109"/>
  <c r="F442" i="109"/>
  <c r="F411" i="109"/>
  <c r="F316" i="109"/>
  <c r="F459" i="109"/>
  <c r="F441" i="109"/>
  <c r="F410" i="109"/>
  <c r="F518" i="109"/>
  <c r="F284" i="109"/>
  <c r="F347" i="109"/>
  <c r="F283" i="109"/>
  <c r="F317" i="109"/>
  <c r="F248" i="109"/>
  <c r="F167" i="109"/>
  <c r="F166" i="109"/>
  <c r="J67" i="109" a="1"/>
  <c r="J67" i="109" s="1"/>
  <c r="J70" i="109" a="1"/>
  <c r="J70" i="109" s="1"/>
  <c r="J63" i="109" a="1"/>
  <c r="J63" i="109" s="1"/>
  <c r="G69" i="109" a="1"/>
  <c r="G69" i="109" s="1"/>
  <c r="J65" i="109" a="1"/>
  <c r="J65" i="109" s="1"/>
  <c r="G62" i="109" a="1"/>
  <c r="G62" i="109" s="1"/>
  <c r="J437" i="109" a="1"/>
  <c r="J437" i="109" s="1"/>
  <c r="H437" i="109" a="1"/>
  <c r="H437" i="109" s="1"/>
  <c r="J439" i="109" a="1"/>
  <c r="J439" i="109" s="1"/>
  <c r="H439" i="109" a="1"/>
  <c r="H439" i="109" s="1"/>
  <c r="J61" i="109" a="1"/>
  <c r="J61" i="109" s="1"/>
  <c r="J455" i="109" a="1"/>
  <c r="J455" i="109" s="1"/>
  <c r="H455" i="109" a="1"/>
  <c r="H455" i="109" s="1"/>
  <c r="I138" i="109" a="1"/>
  <c r="I138" i="109" s="1"/>
  <c r="J49" i="109" a="1"/>
  <c r="J49" i="109" s="1"/>
  <c r="G46" i="109" a="1"/>
  <c r="G46" i="109" s="1"/>
  <c r="J68" i="109" a="1"/>
  <c r="J68" i="109" s="1"/>
  <c r="E167" i="109"/>
  <c r="F642" i="109"/>
  <c r="F641" i="109"/>
  <c r="F639" i="109"/>
  <c r="F621" i="109"/>
  <c r="F638" i="109"/>
  <c r="F620" i="109"/>
  <c r="F141" i="109"/>
  <c r="F131" i="109"/>
  <c r="F130" i="109"/>
  <c r="F145" i="109"/>
  <c r="F144" i="109"/>
  <c r="F142" i="109"/>
  <c r="I139" i="109" a="1"/>
  <c r="I139" i="109" s="1"/>
  <c r="G139" i="109" a="1"/>
  <c r="G139" i="109" s="1"/>
  <c r="H376" i="109" a="1"/>
  <c r="H376" i="109" s="1"/>
  <c r="J371" i="109" a="1"/>
  <c r="J371" i="109" s="1"/>
  <c r="M28" i="109" a="1"/>
  <c r="M28" i="109" s="1"/>
  <c r="M30" i="109" a="1"/>
  <c r="M30" i="109" s="1"/>
  <c r="M32" i="109" a="1"/>
  <c r="M32" i="109" s="1"/>
  <c r="J80" i="109" a="1"/>
  <c r="J80" i="109" s="1"/>
  <c r="G84" i="109" a="1"/>
  <c r="G84" i="109" s="1"/>
  <c r="J87" i="109" a="1"/>
  <c r="J87" i="109" s="1"/>
  <c r="M26" i="109" a="1"/>
  <c r="M26" i="109" s="1"/>
  <c r="I121" i="109" a="1"/>
  <c r="I121" i="109" s="1"/>
  <c r="I469" i="109" a="1"/>
  <c r="I469" i="109" s="1"/>
  <c r="G469" i="109" a="1"/>
  <c r="G469" i="109" s="1"/>
  <c r="G43" i="109" a="1"/>
  <c r="G43" i="109" s="1"/>
  <c r="J62" i="109" a="1"/>
  <c r="J62" i="109" s="1"/>
  <c r="G66" i="109" a="1"/>
  <c r="G66" i="109" s="1"/>
  <c r="J69" i="109" a="1"/>
  <c r="J69" i="109" s="1"/>
  <c r="G81" i="109" a="1"/>
  <c r="G81" i="109" s="1"/>
  <c r="J84" i="109" a="1"/>
  <c r="J84" i="109" s="1"/>
  <c r="G88" i="109" a="1"/>
  <c r="G88" i="109" s="1"/>
  <c r="I480" i="109" a="1"/>
  <c r="I480" i="109" s="1"/>
  <c r="E484" i="109" s="1"/>
  <c r="G480" i="109" a="1"/>
  <c r="G480" i="109" s="1"/>
  <c r="J43" i="109" a="1"/>
  <c r="J43" i="109" s="1"/>
  <c r="G63" i="109" a="1"/>
  <c r="G63" i="109" s="1"/>
  <c r="J66" i="109" a="1"/>
  <c r="J66" i="109" s="1"/>
  <c r="J81" i="109" a="1"/>
  <c r="J81" i="109" s="1"/>
  <c r="G85" i="109" a="1"/>
  <c r="G85" i="109" s="1"/>
  <c r="I467" i="109" a="1"/>
  <c r="I467" i="109" s="1"/>
  <c r="G467" i="109" a="1"/>
  <c r="G467" i="109" s="1"/>
  <c r="J630" i="109" a="1"/>
  <c r="J630" i="109" s="1"/>
  <c r="J636" i="109" a="1"/>
  <c r="J636" i="109" s="1"/>
  <c r="J629" i="109" a="1"/>
  <c r="J629" i="109" s="1"/>
  <c r="J635" i="109" a="1"/>
  <c r="J635" i="109" s="1"/>
  <c r="J628" i="109" a="1"/>
  <c r="J628" i="109" s="1"/>
  <c r="G51" i="109" a="1"/>
  <c r="G51" i="109" s="1"/>
  <c r="G67" i="109" a="1"/>
  <c r="G67" i="109" s="1"/>
  <c r="G82" i="109" a="1"/>
  <c r="G82" i="109" s="1"/>
  <c r="J85" i="109" a="1"/>
  <c r="J85" i="109" s="1"/>
  <c r="K343" i="109" a="1"/>
  <c r="K343" i="109" s="1"/>
  <c r="K338" i="109" a="1"/>
  <c r="K338" i="109" s="1"/>
  <c r="K342" i="109" a="1"/>
  <c r="K342" i="109" s="1"/>
  <c r="K337" i="109" a="1"/>
  <c r="K337" i="109" s="1"/>
  <c r="K341" i="109" a="1"/>
  <c r="K341" i="109" s="1"/>
  <c r="K344" i="109" a="1"/>
  <c r="K344" i="109" s="1"/>
  <c r="J627" i="109" a="1"/>
  <c r="J627" i="109" s="1"/>
  <c r="M27" i="109" a="1"/>
  <c r="M27" i="109" s="1"/>
  <c r="G61" i="109" a="1"/>
  <c r="G61" i="109" s="1"/>
  <c r="K336" i="109" a="1"/>
  <c r="K336" i="109" s="1"/>
  <c r="N573" i="109"/>
  <c r="F573" i="109"/>
  <c r="J44" i="109" a="1"/>
  <c r="J44" i="109" s="1"/>
  <c r="J51" i="109" a="1"/>
  <c r="J51" i="109" s="1"/>
  <c r="G64" i="109" a="1"/>
  <c r="G64" i="109" s="1"/>
  <c r="J82" i="109" a="1"/>
  <c r="J82" i="109" s="1"/>
  <c r="G86" i="109" a="1"/>
  <c r="G86" i="109" s="1"/>
  <c r="L338" i="109"/>
  <c r="L342" i="109"/>
  <c r="L341" i="109"/>
  <c r="L345" i="109"/>
  <c r="L340" i="109"/>
  <c r="L344" i="109"/>
  <c r="J402" i="109" a="1"/>
  <c r="J402" i="109" s="1"/>
  <c r="J406" i="109" a="1"/>
  <c r="J406" i="109" s="1"/>
  <c r="J401" i="109" a="1"/>
  <c r="J401" i="109" s="1"/>
  <c r="J405" i="109" a="1"/>
  <c r="J405" i="109" s="1"/>
  <c r="J400" i="109" a="1"/>
  <c r="J400" i="109" s="1"/>
  <c r="J404" i="109" a="1"/>
  <c r="J404" i="109" s="1"/>
  <c r="J456" i="109" a="1"/>
  <c r="J456" i="109" s="1"/>
  <c r="H456" i="109" a="1"/>
  <c r="H456" i="109" s="1"/>
  <c r="F34" i="109"/>
  <c r="F72" i="109"/>
  <c r="J79" i="109" a="1"/>
  <c r="J79" i="109" s="1"/>
  <c r="F91" i="109"/>
  <c r="K345" i="109" a="1"/>
  <c r="K345" i="109" s="1"/>
  <c r="H371" i="109" a="1"/>
  <c r="H371" i="109" s="1"/>
  <c r="J399" i="109" a="1"/>
  <c r="J399" i="109" s="1"/>
  <c r="J633" i="109" a="1"/>
  <c r="J633" i="109" s="1"/>
  <c r="J48" i="109" a="1"/>
  <c r="J48" i="109" s="1"/>
  <c r="J64" i="109" a="1"/>
  <c r="J64" i="109" s="1"/>
  <c r="G68" i="109" a="1"/>
  <c r="G68" i="109" s="1"/>
  <c r="G83" i="109" a="1"/>
  <c r="G83" i="109" s="1"/>
  <c r="J86" i="109" a="1"/>
  <c r="J86" i="109" s="1"/>
  <c r="F296" i="109"/>
  <c r="K406" i="109"/>
  <c r="K401" i="109"/>
  <c r="K405" i="109"/>
  <c r="K400" i="109"/>
  <c r="K404" i="109"/>
  <c r="K408" i="109"/>
  <c r="K403" i="109"/>
  <c r="H457" i="109" a="1"/>
  <c r="H457" i="109" s="1"/>
  <c r="F53" i="109"/>
  <c r="F73" i="109"/>
  <c r="F93" i="109"/>
  <c r="L337" i="109"/>
  <c r="J373" i="109" a="1"/>
  <c r="J373" i="109" s="1"/>
  <c r="H375" i="109" a="1"/>
  <c r="H375" i="109" s="1"/>
  <c r="J368" i="109" a="1"/>
  <c r="J368" i="109" s="1"/>
  <c r="J370" i="109" a="1"/>
  <c r="J370" i="109" s="1"/>
  <c r="H374" i="109" a="1"/>
  <c r="H374" i="109" s="1"/>
  <c r="K399" i="109"/>
  <c r="J634" i="109" a="1"/>
  <c r="J634" i="109" s="1"/>
  <c r="G80" i="109" a="1"/>
  <c r="G80" i="109" s="1"/>
  <c r="K339" i="109" a="1"/>
  <c r="K339" i="109" s="1"/>
  <c r="H433" i="109" a="1"/>
  <c r="H433" i="109" s="1"/>
  <c r="H451" i="109" a="1"/>
  <c r="H451" i="109" s="1"/>
  <c r="J611" i="109" a="1"/>
  <c r="J611" i="109" s="1"/>
  <c r="J618" i="109" a="1"/>
  <c r="J618" i="109" s="1"/>
  <c r="J433" i="109" a="1"/>
  <c r="J433" i="109" s="1"/>
  <c r="J451" i="109" a="1"/>
  <c r="J451" i="109" s="1"/>
  <c r="J631" i="109" a="1"/>
  <c r="J631" i="109" s="1"/>
  <c r="H434" i="109" a="1"/>
  <c r="H434" i="109" s="1"/>
  <c r="K494" i="109" a="1"/>
  <c r="K494" i="109" s="1"/>
  <c r="E502" i="109" s="1"/>
  <c r="J614" i="109" a="1"/>
  <c r="J614" i="109" s="1"/>
  <c r="H430" i="109" a="1"/>
  <c r="H430" i="109" s="1"/>
  <c r="H448" i="109" a="1"/>
  <c r="H448" i="109" s="1"/>
  <c r="J632" i="109" a="1"/>
  <c r="J632" i="109" s="1"/>
  <c r="H432" i="109" a="1"/>
  <c r="H432" i="109" s="1"/>
  <c r="L11" i="106"/>
  <c r="O11" i="106"/>
  <c r="L14" i="106"/>
  <c r="L17" i="106"/>
  <c r="O20" i="106"/>
  <c r="L20" i="106"/>
  <c r="O17" i="106"/>
  <c r="O12" i="106"/>
  <c r="L15" i="106"/>
  <c r="O18" i="106"/>
  <c r="O15" i="106"/>
  <c r="L13" i="106"/>
  <c r="E7" i="104"/>
  <c r="E30" i="104"/>
  <c r="P48" i="104"/>
  <c r="F48" i="104"/>
  <c r="E27" i="103"/>
  <c r="E7" i="103"/>
  <c r="O27" i="103"/>
  <c r="E99" i="100"/>
  <c r="E7" i="100"/>
  <c r="F192" i="100"/>
  <c r="F151" i="100"/>
  <c r="E7" i="97"/>
  <c r="L8" i="97"/>
  <c r="F58" i="97"/>
  <c r="F49" i="97"/>
  <c r="F57" i="97"/>
  <c r="F46" i="97"/>
  <c r="F56" i="97"/>
  <c r="F45" i="97"/>
  <c r="F55" i="97"/>
  <c r="F44" i="97"/>
  <c r="F52" i="97"/>
  <c r="F43" i="97"/>
  <c r="F51" i="97"/>
  <c r="F50" i="97"/>
  <c r="D39" i="97"/>
  <c r="L39" i="97" s="1" a="1"/>
  <c r="L39" i="97" s="1"/>
  <c r="D42" i="97"/>
  <c r="D30" i="97"/>
  <c r="L30" i="97" s="1" a="1"/>
  <c r="L30" i="97" s="1"/>
  <c r="D37" i="97"/>
  <c r="L37" i="97" s="1" a="1"/>
  <c r="L37" i="97" s="1"/>
  <c r="D28" i="97"/>
  <c r="D35" i="97"/>
  <c r="L35" i="97" s="1" a="1"/>
  <c r="L35" i="97" s="1"/>
  <c r="D26" i="97"/>
  <c r="L26" i="97" s="1" a="1"/>
  <c r="L26" i="97" s="1"/>
  <c r="D33" i="97"/>
  <c r="D40" i="97"/>
  <c r="D31" i="97"/>
  <c r="Q32" i="97" a="1"/>
  <c r="Q32" i="97" s="1"/>
  <c r="D38" i="97"/>
  <c r="L38" i="97" s="1" a="1"/>
  <c r="L38" i="97" s="1"/>
  <c r="D48" i="97"/>
  <c r="E7" i="96"/>
  <c r="L7" i="96"/>
  <c r="N30" i="96" a="1"/>
  <c r="N30" i="96" s="1"/>
  <c r="F70" i="96"/>
  <c r="F61" i="96"/>
  <c r="F51" i="96"/>
  <c r="F69" i="96"/>
  <c r="F50" i="96"/>
  <c r="F58" i="96"/>
  <c r="F68" i="96"/>
  <c r="F49" i="96"/>
  <c r="F57" i="96"/>
  <c r="F67" i="96"/>
  <c r="F56" i="96"/>
  <c r="F46" i="96"/>
  <c r="F64" i="96"/>
  <c r="F55" i="96"/>
  <c r="F45" i="96"/>
  <c r="F63" i="96"/>
  <c r="F44" i="96"/>
  <c r="F62" i="96"/>
  <c r="F52" i="96"/>
  <c r="F43" i="96"/>
  <c r="Q35" i="96" a="1"/>
  <c r="Q35" i="96" s="1"/>
  <c r="D54" i="96"/>
  <c r="I20" i="95"/>
  <c r="L33" i="96" s="1" a="1"/>
  <c r="L33" i="96" s="1"/>
  <c r="D29" i="96"/>
  <c r="L29" i="96" s="1" a="1"/>
  <c r="L29" i="96" s="1"/>
  <c r="Q30" i="96" a="1"/>
  <c r="Q30" i="96" s="1"/>
  <c r="Q25" i="96" a="1"/>
  <c r="Q25" i="96" s="1"/>
  <c r="D38" i="96"/>
  <c r="L38" i="96" s="1" a="1"/>
  <c r="L38" i="96" s="1"/>
  <c r="Q34" i="96" a="1"/>
  <c r="Q34" i="96" s="1"/>
  <c r="D28" i="96"/>
  <c r="L28" i="96" s="1" a="1"/>
  <c r="L28" i="96" s="1"/>
  <c r="D48" i="96"/>
  <c r="D32" i="96"/>
  <c r="L32" i="96" s="1" a="1"/>
  <c r="L32" i="96" s="1"/>
  <c r="D27" i="96"/>
  <c r="L27" i="96" s="1" a="1"/>
  <c r="L27" i="96" s="1"/>
  <c r="D36" i="96"/>
  <c r="L36" i="96" s="1" a="1"/>
  <c r="L36" i="96" s="1"/>
  <c r="D31" i="96"/>
  <c r="L31" i="96" s="1" a="1"/>
  <c r="L31" i="96" s="1"/>
  <c r="D26" i="96"/>
  <c r="L26" i="96" s="1" a="1"/>
  <c r="L26" i="96" s="1"/>
  <c r="E18" i="93" a="1"/>
  <c r="E18" i="93" s="1"/>
  <c r="E26" i="13" s="1" a="1"/>
  <c r="E26" i="13" s="1"/>
  <c r="F26" i="13" s="1"/>
  <c r="I26" i="13" s="1"/>
  <c r="I17" i="95"/>
  <c r="E8" i="93"/>
  <c r="E25" i="93"/>
  <c r="I47" i="92"/>
  <c r="E50" i="92" s="1"/>
  <c r="E83" i="90"/>
  <c r="E49" i="90"/>
  <c r="E7" i="90"/>
  <c r="E43" i="89"/>
  <c r="E118" i="89"/>
  <c r="E7" i="89"/>
  <c r="E90" i="89"/>
  <c r="G59" i="89"/>
  <c r="E7" i="88"/>
  <c r="E38" i="87"/>
  <c r="E7" i="87"/>
  <c r="E7" i="86"/>
  <c r="E43" i="86"/>
  <c r="F78" i="86"/>
  <c r="F58" i="86"/>
  <c r="E7" i="85"/>
  <c r="E42" i="85"/>
  <c r="N60" i="85"/>
  <c r="F80" i="85"/>
  <c r="F60" i="85"/>
  <c r="O88" i="85"/>
  <c r="Q52" i="85"/>
  <c r="R52" i="85" a="1"/>
  <c r="R52" i="85" s="1"/>
  <c r="R51" i="85" a="1"/>
  <c r="R51" i="85" s="1"/>
  <c r="T52" i="85"/>
  <c r="H27" i="79"/>
  <c r="N32" i="79"/>
  <c r="I19" i="84"/>
  <c r="E7" i="83"/>
  <c r="E26" i="83"/>
  <c r="O36" i="83"/>
  <c r="F36" i="83"/>
  <c r="O20" i="83"/>
  <c r="F20" i="83"/>
  <c r="X28" i="80" a="1"/>
  <c r="X28" i="80" s="1"/>
  <c r="Y28" i="80" s="1" a="1"/>
  <c r="Y28" i="80" s="1"/>
  <c r="E7" i="82"/>
  <c r="E22" i="82"/>
  <c r="P35" i="82"/>
  <c r="F35" i="82"/>
  <c r="AF254" i="81"/>
  <c r="X255" i="80"/>
  <c r="V101" i="81" a="1"/>
  <c r="V101" i="81" s="1"/>
  <c r="W101" i="81" s="1" a="1"/>
  <c r="W101" i="81" s="1"/>
  <c r="AC101" i="81" s="1" a="1"/>
  <c r="AC101" i="81" s="1"/>
  <c r="J30" i="79"/>
  <c r="G30" i="80"/>
  <c r="O209" i="81"/>
  <c r="AF248" i="81"/>
  <c r="W261" i="81"/>
  <c r="AF251" i="81"/>
  <c r="L24" i="76"/>
  <c r="M24" i="76"/>
  <c r="E27" i="79"/>
  <c r="E7" i="81"/>
  <c r="E42" i="81"/>
  <c r="E136" i="81"/>
  <c r="E104" i="81"/>
  <c r="E218" i="81"/>
  <c r="E178" i="81"/>
  <c r="H30" i="80"/>
  <c r="H32" i="80"/>
  <c r="L32" i="80" s="1" a="1"/>
  <c r="L32" i="80" s="1"/>
  <c r="AI262" i="80"/>
  <c r="AI254" i="80"/>
  <c r="P238" i="80"/>
  <c r="AI256" i="80"/>
  <c r="P237" i="80"/>
  <c r="AH104" i="81"/>
  <c r="AH103" i="81"/>
  <c r="AH102" i="81"/>
  <c r="AH101" i="81"/>
  <c r="AH111" i="81"/>
  <c r="Q97" i="81"/>
  <c r="AH110" i="81"/>
  <c r="AH107" i="81"/>
  <c r="Q98" i="81"/>
  <c r="AH108" i="81"/>
  <c r="Q96" i="81"/>
  <c r="AH109" i="81"/>
  <c r="AH106" i="81"/>
  <c r="AH100" i="81"/>
  <c r="Q95" i="81"/>
  <c r="AH105" i="81"/>
  <c r="Y39" i="80" a="1"/>
  <c r="Y39" i="80" s="1"/>
  <c r="AD39" i="80" s="1" a="1"/>
  <c r="AD39" i="80" s="1"/>
  <c r="AC102" i="81" a="1"/>
  <c r="AC102" i="81" s="1"/>
  <c r="AB102" i="81" a="1"/>
  <c r="AB102" i="81" s="1"/>
  <c r="AA102" i="81" a="1"/>
  <c r="AA102" i="81" s="1"/>
  <c r="AF45" i="81"/>
  <c r="AF47" i="81"/>
  <c r="AF42" i="81"/>
  <c r="AF40" i="81"/>
  <c r="O35" i="81"/>
  <c r="O33" i="81"/>
  <c r="AF38" i="81"/>
  <c r="AF36" i="81"/>
  <c r="AF46" i="81"/>
  <c r="AF44" i="81"/>
  <c r="AF41" i="81"/>
  <c r="O34" i="81"/>
  <c r="AF43" i="81"/>
  <c r="O36" i="81"/>
  <c r="AF37" i="81"/>
  <c r="AF39" i="81"/>
  <c r="J368" i="78"/>
  <c r="AF83" i="81"/>
  <c r="O62" i="81"/>
  <c r="AF76" i="81"/>
  <c r="AF80" i="81"/>
  <c r="AF73" i="81"/>
  <c r="O63" i="81"/>
  <c r="O65" i="81"/>
  <c r="AF81" i="81"/>
  <c r="H31" i="80"/>
  <c r="X184" i="80"/>
  <c r="E23" i="79"/>
  <c r="X185" i="80"/>
  <c r="AF72" i="81"/>
  <c r="AF77" i="81"/>
  <c r="I23" i="79"/>
  <c r="O64" i="81"/>
  <c r="AF75" i="81"/>
  <c r="E95" i="81" a="1"/>
  <c r="E95" i="81" s="1"/>
  <c r="F95" i="81" s="1" a="1"/>
  <c r="F95" i="81" s="1"/>
  <c r="J95" i="81" s="1" a="1"/>
  <c r="J95" i="81" s="1"/>
  <c r="E96" i="81" a="1"/>
  <c r="E96" i="81" s="1"/>
  <c r="F96" i="81" s="1" a="1"/>
  <c r="F96" i="81" s="1"/>
  <c r="J96" i="81" s="1" a="1"/>
  <c r="J96" i="81" s="1"/>
  <c r="E97" i="81" a="1"/>
  <c r="E97" i="81" s="1"/>
  <c r="F97" i="81" s="1" a="1"/>
  <c r="F97" i="81" s="1"/>
  <c r="J97" i="81" s="1" a="1"/>
  <c r="J97" i="81" s="1"/>
  <c r="E98" i="81" a="1"/>
  <c r="E98" i="81" s="1"/>
  <c r="AF147" i="81"/>
  <c r="AF145" i="81"/>
  <c r="AF140" i="81"/>
  <c r="AF142" i="81"/>
  <c r="AF139" i="81"/>
  <c r="AF144" i="81"/>
  <c r="AF138" i="81"/>
  <c r="O130" i="81"/>
  <c r="AF141" i="81"/>
  <c r="AF136" i="81"/>
  <c r="AF137" i="81"/>
  <c r="O129" i="81"/>
  <c r="O127" i="81"/>
  <c r="AF143" i="81"/>
  <c r="AF146" i="81"/>
  <c r="AF74" i="81"/>
  <c r="AF78" i="81"/>
  <c r="AF79" i="81"/>
  <c r="G25" i="79"/>
  <c r="I34" i="79"/>
  <c r="X181" i="80"/>
  <c r="K24" i="76"/>
  <c r="AF82" i="81"/>
  <c r="V186" i="81" a="1"/>
  <c r="V186" i="81" s="1"/>
  <c r="V189" i="81" a="1"/>
  <c r="V189" i="81" s="1"/>
  <c r="V181" i="81" a="1"/>
  <c r="V181" i="81" s="1"/>
  <c r="V190" i="81" a="1"/>
  <c r="V190" i="81" s="1"/>
  <c r="V184" i="81" a="1"/>
  <c r="V184" i="81" s="1"/>
  <c r="V188" i="81" a="1"/>
  <c r="V188" i="81" s="1"/>
  <c r="V185" i="81" a="1"/>
  <c r="V185" i="81" s="1"/>
  <c r="V191" i="81" a="1"/>
  <c r="V191" i="81" s="1"/>
  <c r="V187" i="81" a="1"/>
  <c r="V187" i="81" s="1"/>
  <c r="V183" i="81" a="1"/>
  <c r="V183" i="81" s="1"/>
  <c r="V111" i="81" a="1"/>
  <c r="V111" i="81" s="1"/>
  <c r="W111" i="81" s="1" a="1"/>
  <c r="W111" i="81" s="1"/>
  <c r="V106" i="81" a="1"/>
  <c r="V106" i="81" s="1"/>
  <c r="W106" i="81" s="1" a="1"/>
  <c r="W106" i="81" s="1"/>
  <c r="AB106" i="81" s="1" a="1"/>
  <c r="AB106" i="81" s="1"/>
  <c r="V182" i="81" a="1"/>
  <c r="V182" i="81" s="1"/>
  <c r="V108" i="81" a="1"/>
  <c r="V108" i="81" s="1"/>
  <c r="V104" i="81" a="1"/>
  <c r="V104" i="81" s="1"/>
  <c r="W104" i="81" s="1" a="1"/>
  <c r="W104" i="81" s="1"/>
  <c r="V109" i="81" a="1"/>
  <c r="V109" i="81" s="1"/>
  <c r="V100" i="81" a="1"/>
  <c r="V100" i="81" s="1"/>
  <c r="W100" i="81" s="1" a="1"/>
  <c r="W100" i="81" s="1"/>
  <c r="AA100" i="81" s="1" a="1"/>
  <c r="AA100" i="81" s="1"/>
  <c r="V180" i="81" a="1"/>
  <c r="V180" i="81" s="1"/>
  <c r="V105" i="81" a="1"/>
  <c r="V105" i="81" s="1"/>
  <c r="W105" i="81" s="1" a="1"/>
  <c r="W105" i="81" s="1"/>
  <c r="AB105" i="81" s="1" a="1"/>
  <c r="AB105" i="81" s="1"/>
  <c r="V107" i="81" a="1"/>
  <c r="V107" i="81" s="1"/>
  <c r="V103" i="81" a="1"/>
  <c r="V103" i="81" s="1"/>
  <c r="W103" i="81" s="1" a="1"/>
  <c r="W103" i="81" s="1"/>
  <c r="V110" i="81" a="1"/>
  <c r="V110" i="81" s="1"/>
  <c r="W110" i="81" s="1" a="1"/>
  <c r="W110" i="81" s="1"/>
  <c r="AA110" i="81" s="1" a="1"/>
  <c r="AA110" i="81" s="1"/>
  <c r="AF205" i="81"/>
  <c r="AF202" i="81"/>
  <c r="AF197" i="81"/>
  <c r="AF200" i="81"/>
  <c r="AF203" i="81"/>
  <c r="AF198" i="81"/>
  <c r="O169" i="81"/>
  <c r="AF201" i="81"/>
  <c r="AF196" i="81"/>
  <c r="AF206" i="81"/>
  <c r="AF199" i="81"/>
  <c r="O172" i="81"/>
  <c r="AF204" i="81"/>
  <c r="AF207" i="81"/>
  <c r="O171" i="81"/>
  <c r="AF259" i="81"/>
  <c r="AF252" i="81"/>
  <c r="O210" i="81"/>
  <c r="O208" i="81"/>
  <c r="AF257" i="81"/>
  <c r="AF250" i="81"/>
  <c r="O207" i="81"/>
  <c r="AF256" i="81"/>
  <c r="AF249" i="81"/>
  <c r="F212" i="81"/>
  <c r="F229" i="81"/>
  <c r="E191" i="81"/>
  <c r="AF253" i="81"/>
  <c r="AF258" i="81"/>
  <c r="E39" i="80"/>
  <c r="E101" i="80"/>
  <c r="E148" i="80"/>
  <c r="E206" i="80"/>
  <c r="AH140" i="80"/>
  <c r="O133" i="80"/>
  <c r="AH142" i="80"/>
  <c r="AH137" i="80"/>
  <c r="AH132" i="80"/>
  <c r="AH133" i="80"/>
  <c r="AH139" i="80"/>
  <c r="AH134" i="80"/>
  <c r="AH136" i="80"/>
  <c r="O131" i="80"/>
  <c r="AH135" i="80"/>
  <c r="O132" i="80"/>
  <c r="AH131" i="80"/>
  <c r="AH138" i="80"/>
  <c r="AH141" i="80"/>
  <c r="O134" i="80"/>
  <c r="X191" i="80"/>
  <c r="X179" i="80"/>
  <c r="AI189" i="80"/>
  <c r="AI191" i="80"/>
  <c r="AI180" i="80"/>
  <c r="AI197" i="80"/>
  <c r="AI187" i="80"/>
  <c r="AI185" i="80"/>
  <c r="AI199" i="80"/>
  <c r="P184" i="80"/>
  <c r="P183" i="80"/>
  <c r="P182" i="80"/>
  <c r="AI179" i="80"/>
  <c r="AI194" i="80"/>
  <c r="AI196" i="80"/>
  <c r="AI192" i="80"/>
  <c r="AI181" i="80"/>
  <c r="AI184" i="80"/>
  <c r="AI182" i="80"/>
  <c r="P181" i="80"/>
  <c r="AI198" i="80"/>
  <c r="AI186" i="80"/>
  <c r="P180" i="80"/>
  <c r="AI178" i="80"/>
  <c r="AI200" i="80"/>
  <c r="AI188" i="80"/>
  <c r="P179" i="80"/>
  <c r="P178" i="80"/>
  <c r="AI177" i="80"/>
  <c r="AI183" i="80"/>
  <c r="AI190" i="80"/>
  <c r="AI193" i="80"/>
  <c r="P177" i="80"/>
  <c r="AI195" i="80"/>
  <c r="AE34" i="80" a="1"/>
  <c r="AE34" i="80" s="1"/>
  <c r="AD34" i="80" a="1"/>
  <c r="AD34" i="80" s="1"/>
  <c r="X180" i="80"/>
  <c r="X192" i="80"/>
  <c r="AJ32" i="80"/>
  <c r="S31" i="80"/>
  <c r="AJ33" i="80"/>
  <c r="AJ31" i="80"/>
  <c r="AJ34" i="80"/>
  <c r="AJ28" i="80"/>
  <c r="S32" i="80"/>
  <c r="AJ29" i="80"/>
  <c r="AJ35" i="80"/>
  <c r="S30" i="80"/>
  <c r="AJ36" i="80"/>
  <c r="AJ37" i="80"/>
  <c r="AJ30" i="80"/>
  <c r="AJ38" i="80"/>
  <c r="S33" i="80"/>
  <c r="AJ39" i="80"/>
  <c r="O85" i="80"/>
  <c r="O55" i="81" s="1"/>
  <c r="O84" i="80"/>
  <c r="O54" i="81" s="1"/>
  <c r="AH87" i="80"/>
  <c r="AF67" i="81" s="1"/>
  <c r="AH84" i="80"/>
  <c r="AF64" i="81" s="1"/>
  <c r="AH77" i="80"/>
  <c r="AF57" i="81" s="1"/>
  <c r="AH81" i="80"/>
  <c r="AF61" i="81" s="1"/>
  <c r="AH79" i="80"/>
  <c r="AF59" i="81" s="1"/>
  <c r="AH86" i="80"/>
  <c r="AF66" i="81" s="1"/>
  <c r="AH83" i="80"/>
  <c r="AF63" i="81" s="1"/>
  <c r="O87" i="80"/>
  <c r="O57" i="81" s="1"/>
  <c r="AH76" i="80"/>
  <c r="AF56" i="81" s="1"/>
  <c r="AH78" i="80"/>
  <c r="AF58" i="81" s="1"/>
  <c r="AH85" i="80"/>
  <c r="AF65" i="81" s="1"/>
  <c r="AH80" i="80"/>
  <c r="AF60" i="81" s="1"/>
  <c r="O86" i="80"/>
  <c r="O56" i="81" s="1"/>
  <c r="AH82" i="80"/>
  <c r="AF62" i="81" s="1"/>
  <c r="AE31" i="80" a="1"/>
  <c r="AE31" i="80" s="1"/>
  <c r="AD31" i="80" a="1"/>
  <c r="AD31" i="80" s="1"/>
  <c r="AC31" i="80" a="1"/>
  <c r="AC31" i="80" s="1"/>
  <c r="F26" i="79"/>
  <c r="G30" i="79"/>
  <c r="X190" i="80"/>
  <c r="X178" i="80"/>
  <c r="H30" i="79"/>
  <c r="E34" i="79"/>
  <c r="X188" i="80"/>
  <c r="X200" i="80"/>
  <c r="L365" i="78"/>
  <c r="H23" i="79"/>
  <c r="F27" i="79"/>
  <c r="K30" i="79"/>
  <c r="X251" i="80"/>
  <c r="X263" i="80"/>
  <c r="N365" i="78"/>
  <c r="L30" i="79"/>
  <c r="X199" i="80"/>
  <c r="X187" i="80"/>
  <c r="I27" i="79"/>
  <c r="N30" i="79"/>
  <c r="X30" i="80" a="1"/>
  <c r="X30" i="80" s="1"/>
  <c r="Y30" i="80" s="1" a="1"/>
  <c r="Y30" i="80" s="1"/>
  <c r="AE30" i="80" s="1" a="1"/>
  <c r="AE30" i="80" s="1"/>
  <c r="X38" i="80" a="1"/>
  <c r="X38" i="80" s="1"/>
  <c r="Y38" i="80" s="1" a="1"/>
  <c r="Y38" i="80" s="1"/>
  <c r="L27" i="79"/>
  <c r="X37" i="80" a="1"/>
  <c r="X37" i="80" s="1"/>
  <c r="M27" i="79"/>
  <c r="J31" i="79"/>
  <c r="X36" i="80" a="1"/>
  <c r="X36" i="80" s="1"/>
  <c r="X183" i="80"/>
  <c r="K31" i="79"/>
  <c r="X32" i="80" a="1"/>
  <c r="X32" i="80" s="1"/>
  <c r="Y32" i="80" s="1" a="1"/>
  <c r="Y32" i="80" s="1"/>
  <c r="X198" i="80"/>
  <c r="X186" i="80"/>
  <c r="X194" i="80"/>
  <c r="H25" i="79"/>
  <c r="E28" i="79"/>
  <c r="L31" i="79"/>
  <c r="I25" i="79"/>
  <c r="H28" i="79"/>
  <c r="N31" i="79"/>
  <c r="X29" i="80" a="1"/>
  <c r="X29" i="80" s="1"/>
  <c r="Y29" i="80" s="1" a="1"/>
  <c r="Y29" i="80" s="1"/>
  <c r="X35" i="80" a="1"/>
  <c r="X35" i="80" s="1"/>
  <c r="K25" i="79"/>
  <c r="I28" i="79"/>
  <c r="X177" i="80"/>
  <c r="X189" i="80"/>
  <c r="N25" i="79"/>
  <c r="X257" i="80"/>
  <c r="X269" i="80"/>
  <c r="X253" i="80"/>
  <c r="X254" i="80"/>
  <c r="X266" i="80"/>
  <c r="X252" i="80"/>
  <c r="X264" i="80"/>
  <c r="X268" i="80"/>
  <c r="X256" i="80"/>
  <c r="E219" i="80"/>
  <c r="AI272" i="80"/>
  <c r="AI258" i="80"/>
  <c r="AI261" i="80"/>
  <c r="P236" i="80"/>
  <c r="AI264" i="80"/>
  <c r="P239" i="80"/>
  <c r="AI267" i="80"/>
  <c r="AI253" i="80"/>
  <c r="P242" i="80"/>
  <c r="AI270" i="80"/>
  <c r="AI273" i="80"/>
  <c r="AI259" i="80"/>
  <c r="AI265" i="80"/>
  <c r="AI251" i="80"/>
  <c r="P240" i="80"/>
  <c r="AI268" i="80"/>
  <c r="AI271" i="80"/>
  <c r="AI257" i="80"/>
  <c r="AI274" i="80"/>
  <c r="AI260" i="80"/>
  <c r="AI263" i="80"/>
  <c r="AI266" i="80"/>
  <c r="AI252" i="80"/>
  <c r="P241" i="80"/>
  <c r="AI269" i="80"/>
  <c r="AI255" i="80"/>
  <c r="F244" i="80"/>
  <c r="X219" i="80"/>
  <c r="X261" i="80"/>
  <c r="P235" i="80"/>
  <c r="X262" i="80"/>
  <c r="X259" i="80"/>
  <c r="X270" i="80"/>
  <c r="X272" i="80"/>
  <c r="E26" i="79"/>
  <c r="I26" i="79"/>
  <c r="N27" i="79"/>
  <c r="F34" i="79"/>
  <c r="J26" i="79"/>
  <c r="G34" i="79"/>
  <c r="F25" i="79"/>
  <c r="K26" i="79"/>
  <c r="H34" i="79"/>
  <c r="L26" i="79"/>
  <c r="M26" i="79"/>
  <c r="J34" i="79"/>
  <c r="N26" i="79"/>
  <c r="K34" i="79"/>
  <c r="J25" i="79"/>
  <c r="F32" i="79"/>
  <c r="L34" i="79"/>
  <c r="M29" i="76"/>
  <c r="G32" i="79"/>
  <c r="M34" i="79"/>
  <c r="J29" i="76"/>
  <c r="L25" i="79"/>
  <c r="I32" i="79"/>
  <c r="J364" i="78"/>
  <c r="M25" i="79"/>
  <c r="G27" i="79"/>
  <c r="I30" i="79"/>
  <c r="M32" i="79"/>
  <c r="N123" i="79"/>
  <c r="O123" i="79" s="1"/>
  <c r="F24" i="79"/>
  <c r="G29" i="79"/>
  <c r="M31" i="79"/>
  <c r="E33" i="79"/>
  <c r="G24" i="79"/>
  <c r="F33" i="79"/>
  <c r="H29" i="79"/>
  <c r="F23" i="79"/>
  <c r="H24" i="79"/>
  <c r="F28" i="79"/>
  <c r="I29" i="79"/>
  <c r="G33" i="79"/>
  <c r="G23" i="79"/>
  <c r="I24" i="79"/>
  <c r="G28" i="79"/>
  <c r="J29" i="79"/>
  <c r="M30" i="79"/>
  <c r="E32" i="79"/>
  <c r="H33" i="79"/>
  <c r="M124" i="79"/>
  <c r="E29" i="79"/>
  <c r="E24" i="79"/>
  <c r="K29" i="79"/>
  <c r="I33" i="79"/>
  <c r="J23" i="79"/>
  <c r="L24" i="79"/>
  <c r="J28" i="79"/>
  <c r="M29" i="79"/>
  <c r="E31" i="79"/>
  <c r="H32" i="79"/>
  <c r="K33" i="79"/>
  <c r="N122" i="79"/>
  <c r="O122" i="79" s="1"/>
  <c r="L121" i="79"/>
  <c r="K23" i="79"/>
  <c r="F29" i="79"/>
  <c r="L23" i="79"/>
  <c r="N24" i="79"/>
  <c r="L28" i="79"/>
  <c r="G31" i="79"/>
  <c r="J32" i="79"/>
  <c r="M33" i="79"/>
  <c r="L29" i="79"/>
  <c r="M24" i="79"/>
  <c r="M23" i="79"/>
  <c r="G26" i="79"/>
  <c r="J27" i="79"/>
  <c r="M28" i="79"/>
  <c r="E30" i="79"/>
  <c r="H31" i="79"/>
  <c r="K32" i="79"/>
  <c r="N33" i="79"/>
  <c r="J24" i="79"/>
  <c r="J33" i="79"/>
  <c r="K28" i="79"/>
  <c r="F31" i="79"/>
  <c r="AH33" i="77"/>
  <c r="Q28" i="77"/>
  <c r="AH32" i="77"/>
  <c r="E25" i="76"/>
  <c r="K25" i="76"/>
  <c r="N25" i="76"/>
  <c r="L362" i="78"/>
  <c r="I366" i="78"/>
  <c r="G34" i="76"/>
  <c r="M34" i="76"/>
  <c r="O107" i="77"/>
  <c r="F34" i="76"/>
  <c r="G100" i="77"/>
  <c r="O115" i="77" s="1"/>
  <c r="L28" i="76"/>
  <c r="G29" i="76"/>
  <c r="J367" i="78"/>
  <c r="V37" i="77" a="1"/>
  <c r="V37" i="77" s="1"/>
  <c r="W37" i="77" s="1" a="1"/>
  <c r="W37" i="77" s="1"/>
  <c r="AB37" i="77" s="1" a="1"/>
  <c r="AB37" i="77" s="1"/>
  <c r="L34" i="76"/>
  <c r="I28" i="76"/>
  <c r="J90" i="78"/>
  <c r="J86" i="78"/>
  <c r="J92" i="78"/>
  <c r="J88" i="78"/>
  <c r="P91" i="78"/>
  <c r="O91" i="78"/>
  <c r="P87" i="78"/>
  <c r="N91" i="78"/>
  <c r="O87" i="78"/>
  <c r="N87" i="78"/>
  <c r="G93" i="78"/>
  <c r="G89" i="78"/>
  <c r="P96" i="78"/>
  <c r="O96" i="78"/>
  <c r="N96" i="78"/>
  <c r="P101" i="78"/>
  <c r="O101" i="78"/>
  <c r="N101" i="78"/>
  <c r="J225" i="78"/>
  <c r="J229" i="78"/>
  <c r="P89" i="78"/>
  <c r="P93" i="78"/>
  <c r="O89" i="78"/>
  <c r="O93" i="78"/>
  <c r="N93" i="78"/>
  <c r="N89" i="78"/>
  <c r="N94" i="78"/>
  <c r="P94" i="78"/>
  <c r="O94" i="78"/>
  <c r="P95" i="78"/>
  <c r="O95" i="78"/>
  <c r="N95" i="78"/>
  <c r="P98" i="78"/>
  <c r="O98" i="78"/>
  <c r="N98" i="78"/>
  <c r="P99" i="78"/>
  <c r="O99" i="78"/>
  <c r="N99" i="78"/>
  <c r="P100" i="78"/>
  <c r="O100" i="78"/>
  <c r="N100" i="78"/>
  <c r="G87" i="78"/>
  <c r="G91" i="78"/>
  <c r="G92" i="78"/>
  <c r="G88" i="78"/>
  <c r="F106" i="78"/>
  <c r="F102" i="78"/>
  <c r="J191" i="79" s="1" a="1"/>
  <c r="J191" i="79" s="1"/>
  <c r="L111" i="78"/>
  <c r="K111" i="78"/>
  <c r="L113" i="78"/>
  <c r="K113" i="78"/>
  <c r="L114" i="78"/>
  <c r="K114" i="78"/>
  <c r="L115" i="78"/>
  <c r="K115" i="78"/>
  <c r="O92" i="78"/>
  <c r="N88" i="78"/>
  <c r="N92" i="78"/>
  <c r="P92" i="78"/>
  <c r="P88" i="78"/>
  <c r="O88" i="78"/>
  <c r="M93" i="78"/>
  <c r="M89" i="78"/>
  <c r="P97" i="78"/>
  <c r="O97" i="78"/>
  <c r="N97" i="78"/>
  <c r="G90" i="78"/>
  <c r="G86" i="78"/>
  <c r="L110" i="78"/>
  <c r="K110" i="78"/>
  <c r="L116" i="78"/>
  <c r="K116" i="78"/>
  <c r="H87" i="78"/>
  <c r="H91" i="78"/>
  <c r="H90" i="78"/>
  <c r="H86" i="78"/>
  <c r="P111" i="78"/>
  <c r="O111" i="78"/>
  <c r="N111" i="78"/>
  <c r="P114" i="78"/>
  <c r="O114" i="78"/>
  <c r="N114" i="78"/>
  <c r="P224" i="78"/>
  <c r="P228" i="78"/>
  <c r="O224" i="78"/>
  <c r="O228" i="78"/>
  <c r="N224" i="78"/>
  <c r="N228" i="78"/>
  <c r="L109" i="78"/>
  <c r="K109" i="78"/>
  <c r="H89" i="78"/>
  <c r="H93" i="78"/>
  <c r="L106" i="78"/>
  <c r="K106" i="78"/>
  <c r="I92" i="78"/>
  <c r="I88" i="78"/>
  <c r="P108" i="78"/>
  <c r="O108" i="78"/>
  <c r="N108" i="78"/>
  <c r="L103" i="78"/>
  <c r="K103" i="78"/>
  <c r="K108" i="78"/>
  <c r="L108" i="78"/>
  <c r="L90" i="78"/>
  <c r="K90" i="78"/>
  <c r="L86" i="78"/>
  <c r="K86" i="78"/>
  <c r="M90" i="78"/>
  <c r="M86" i="78"/>
  <c r="J87" i="78"/>
  <c r="J91" i="78"/>
  <c r="J93" i="78"/>
  <c r="J89" i="78"/>
  <c r="L104" i="78"/>
  <c r="K104" i="78"/>
  <c r="G224" i="78"/>
  <c r="G228" i="78"/>
  <c r="H92" i="78"/>
  <c r="H88" i="78"/>
  <c r="L107" i="78"/>
  <c r="K107" i="78"/>
  <c r="K91" i="78"/>
  <c r="L91" i="78"/>
  <c r="L87" i="78"/>
  <c r="K87" i="78"/>
  <c r="L88" i="78"/>
  <c r="L92" i="78"/>
  <c r="K88" i="78"/>
  <c r="K92" i="78"/>
  <c r="L93" i="78"/>
  <c r="K93" i="78"/>
  <c r="L89" i="78"/>
  <c r="K89" i="78"/>
  <c r="O106" i="78"/>
  <c r="N106" i="78"/>
  <c r="P106" i="78"/>
  <c r="I90" i="78"/>
  <c r="I86" i="78"/>
  <c r="M91" i="78"/>
  <c r="M87" i="78"/>
  <c r="L94" i="78"/>
  <c r="K94" i="78"/>
  <c r="L95" i="78"/>
  <c r="K95" i="78"/>
  <c r="L96" i="78"/>
  <c r="K96" i="78"/>
  <c r="L97" i="78"/>
  <c r="K97" i="78"/>
  <c r="K100" i="78"/>
  <c r="L100" i="78"/>
  <c r="L101" i="78"/>
  <c r="K101" i="78"/>
  <c r="L102" i="78"/>
  <c r="K102" i="78"/>
  <c r="N104" i="78"/>
  <c r="P104" i="78"/>
  <c r="O104" i="78"/>
  <c r="P105" i="78"/>
  <c r="O105" i="78"/>
  <c r="N105" i="78"/>
  <c r="I227" i="78"/>
  <c r="I223" i="78"/>
  <c r="L99" i="78"/>
  <c r="K99" i="78"/>
  <c r="P103" i="78"/>
  <c r="O103" i="78"/>
  <c r="N103" i="78"/>
  <c r="J223" i="78"/>
  <c r="J227" i="78"/>
  <c r="P112" i="78"/>
  <c r="O112" i="78"/>
  <c r="I89" i="78"/>
  <c r="I149" i="78" s="1"/>
  <c r="P90" i="78"/>
  <c r="O102" i="78"/>
  <c r="N113" i="78"/>
  <c r="N115" i="78"/>
  <c r="M228" i="78"/>
  <c r="M224" i="78"/>
  <c r="J226" i="78"/>
  <c r="J230" i="78"/>
  <c r="P102" i="78"/>
  <c r="O113" i="78"/>
  <c r="O115" i="78"/>
  <c r="P253" i="78"/>
  <c r="O253" i="78"/>
  <c r="N253" i="78"/>
  <c r="K117" i="78"/>
  <c r="K229" i="78"/>
  <c r="L225" i="78"/>
  <c r="K225" i="78"/>
  <c r="L229" i="78"/>
  <c r="L230" i="78"/>
  <c r="K226" i="78"/>
  <c r="K230" i="78"/>
  <c r="L226" i="78"/>
  <c r="L242" i="78"/>
  <c r="K242" i="78"/>
  <c r="L248" i="78"/>
  <c r="K248" i="78"/>
  <c r="O110" i="78"/>
  <c r="G223" i="78"/>
  <c r="G227" i="78"/>
  <c r="M225" i="78"/>
  <c r="M229" i="78"/>
  <c r="L232" i="78"/>
  <c r="K232" i="78"/>
  <c r="L236" i="78"/>
  <c r="K236" i="78"/>
  <c r="K237" i="78"/>
  <c r="L237" i="78"/>
  <c r="N252" i="78"/>
  <c r="P252" i="78"/>
  <c r="O252" i="78"/>
  <c r="P116" i="78"/>
  <c r="O116" i="78"/>
  <c r="N116" i="78"/>
  <c r="P110" i="78"/>
  <c r="K112" i="78"/>
  <c r="P225" i="78"/>
  <c r="P229" i="78"/>
  <c r="O225" i="78"/>
  <c r="O229" i="78"/>
  <c r="N225" i="78"/>
  <c r="N229" i="78"/>
  <c r="M226" i="78"/>
  <c r="M230" i="78"/>
  <c r="K235" i="78"/>
  <c r="L235" i="78"/>
  <c r="P250" i="78"/>
  <c r="O250" i="78"/>
  <c r="N250" i="78"/>
  <c r="H223" i="78"/>
  <c r="H227" i="78"/>
  <c r="F224" i="78"/>
  <c r="F228" i="78"/>
  <c r="N230" i="78"/>
  <c r="P226" i="78"/>
  <c r="O226" i="78"/>
  <c r="P230" i="78"/>
  <c r="N226" i="78"/>
  <c r="O230" i="78"/>
  <c r="P233" i="78"/>
  <c r="O233" i="78"/>
  <c r="N233" i="78"/>
  <c r="N234" i="78"/>
  <c r="P234" i="78"/>
  <c r="O234" i="78"/>
  <c r="P107" i="78"/>
  <c r="O107" i="78"/>
  <c r="P232" i="78"/>
  <c r="N232" i="78"/>
  <c r="O232" i="78"/>
  <c r="P240" i="78"/>
  <c r="O240" i="78"/>
  <c r="N240" i="78"/>
  <c r="L105" i="78"/>
  <c r="K105" i="78"/>
  <c r="N112" i="78"/>
  <c r="F225" i="78"/>
  <c r="F229" i="78"/>
  <c r="O235" i="78"/>
  <c r="P235" i="78"/>
  <c r="N235" i="78"/>
  <c r="P247" i="78"/>
  <c r="O247" i="78"/>
  <c r="N247" i="78"/>
  <c r="H228" i="78"/>
  <c r="H224" i="78"/>
  <c r="N117" i="78"/>
  <c r="P117" i="78"/>
  <c r="N107" i="78"/>
  <c r="N109" i="78"/>
  <c r="I224" i="78"/>
  <c r="I228" i="78"/>
  <c r="G225" i="78"/>
  <c r="G229" i="78"/>
  <c r="O109" i="78"/>
  <c r="L223" i="78"/>
  <c r="L227" i="78"/>
  <c r="K223" i="78"/>
  <c r="K227" i="78"/>
  <c r="J224" i="78"/>
  <c r="J228" i="78"/>
  <c r="H229" i="78"/>
  <c r="H225" i="78"/>
  <c r="G226" i="78"/>
  <c r="G230" i="78"/>
  <c r="N86" i="78"/>
  <c r="K98" i="78"/>
  <c r="M88" i="78"/>
  <c r="M92" i="78"/>
  <c r="I87" i="78"/>
  <c r="I91" i="78"/>
  <c r="O86" i="78"/>
  <c r="N90" i="78"/>
  <c r="M223" i="78"/>
  <c r="M227" i="78"/>
  <c r="H226" i="78"/>
  <c r="H230" i="78"/>
  <c r="P86" i="78"/>
  <c r="O227" i="78"/>
  <c r="N223" i="78"/>
  <c r="N227" i="78"/>
  <c r="P223" i="78"/>
  <c r="P227" i="78"/>
  <c r="O223" i="78"/>
  <c r="I226" i="78"/>
  <c r="I230" i="78"/>
  <c r="L253" i="78"/>
  <c r="K253" i="78"/>
  <c r="L238" i="78"/>
  <c r="K238" i="78"/>
  <c r="P249" i="78"/>
  <c r="O249" i="78"/>
  <c r="N249" i="78"/>
  <c r="K250" i="78"/>
  <c r="L250" i="78"/>
  <c r="L254" i="78"/>
  <c r="K254" i="78"/>
  <c r="P231" i="78"/>
  <c r="O231" i="78"/>
  <c r="N231" i="78"/>
  <c r="N245" i="78"/>
  <c r="P245" i="78"/>
  <c r="O245" i="78"/>
  <c r="L246" i="78"/>
  <c r="K246" i="78"/>
  <c r="P241" i="78"/>
  <c r="O241" i="78"/>
  <c r="N241" i="78"/>
  <c r="P254" i="78"/>
  <c r="O254" i="78"/>
  <c r="N254" i="78"/>
  <c r="O238" i="78"/>
  <c r="N238" i="78"/>
  <c r="P238" i="78"/>
  <c r="L239" i="78"/>
  <c r="K239" i="78"/>
  <c r="L247" i="78"/>
  <c r="K247" i="78"/>
  <c r="L251" i="78"/>
  <c r="K251" i="78"/>
  <c r="P242" i="78"/>
  <c r="O242" i="78"/>
  <c r="N242" i="78"/>
  <c r="L243" i="78"/>
  <c r="K243" i="78"/>
  <c r="P246" i="78"/>
  <c r="O246" i="78"/>
  <c r="N246" i="78"/>
  <c r="L233" i="78"/>
  <c r="K233" i="78"/>
  <c r="L240" i="78"/>
  <c r="K240" i="78"/>
  <c r="L252" i="78"/>
  <c r="K252" i="78"/>
  <c r="P239" i="78"/>
  <c r="O239" i="78"/>
  <c r="N239" i="78"/>
  <c r="P243" i="78"/>
  <c r="O243" i="78"/>
  <c r="N243" i="78"/>
  <c r="L244" i="78"/>
  <c r="K244" i="78"/>
  <c r="O236" i="78"/>
  <c r="N236" i="78"/>
  <c r="P236" i="78"/>
  <c r="L234" i="78"/>
  <c r="K234" i="78"/>
  <c r="P248" i="78"/>
  <c r="O248" i="78"/>
  <c r="N248" i="78"/>
  <c r="F223" i="78"/>
  <c r="F227" i="78"/>
  <c r="L224" i="78"/>
  <c r="L228" i="78"/>
  <c r="K224" i="78"/>
  <c r="K228" i="78"/>
  <c r="F230" i="78"/>
  <c r="F226" i="78"/>
  <c r="L231" i="78"/>
  <c r="K231" i="78"/>
  <c r="L241" i="78"/>
  <c r="K241" i="78"/>
  <c r="P244" i="78"/>
  <c r="O244" i="78"/>
  <c r="N244" i="78"/>
  <c r="L245" i="78"/>
  <c r="K245" i="78"/>
  <c r="I225" i="78"/>
  <c r="I229" i="78"/>
  <c r="P237" i="78"/>
  <c r="O237" i="78"/>
  <c r="N237" i="78"/>
  <c r="N368" i="78"/>
  <c r="M368" i="78"/>
  <c r="L368" i="78"/>
  <c r="I363" i="78"/>
  <c r="J363" i="78"/>
  <c r="I362" i="78"/>
  <c r="J362" i="78"/>
  <c r="N251" i="78"/>
  <c r="P251" i="78"/>
  <c r="O251" i="78"/>
  <c r="M369" i="78"/>
  <c r="N369" i="78"/>
  <c r="L369" i="78"/>
  <c r="L249" i="78"/>
  <c r="K249" i="78"/>
  <c r="M364" i="78"/>
  <c r="N364" i="78"/>
  <c r="L363" i="78"/>
  <c r="J365" i="78"/>
  <c r="J369" i="78"/>
  <c r="M363" i="78"/>
  <c r="L367" i="78"/>
  <c r="N367" i="78"/>
  <c r="L366" i="78"/>
  <c r="N362" i="78"/>
  <c r="N366" i="78"/>
  <c r="E35" i="77"/>
  <c r="E94" i="77"/>
  <c r="E73" i="77"/>
  <c r="AF97" i="77"/>
  <c r="O85" i="77"/>
  <c r="AF78" i="77"/>
  <c r="AF87" i="77"/>
  <c r="AF86" i="77"/>
  <c r="AF85" i="77"/>
  <c r="AF82" i="77"/>
  <c r="AF80" i="77"/>
  <c r="AF79" i="77"/>
  <c r="O65" i="77"/>
  <c r="AF77" i="77"/>
  <c r="O64" i="77"/>
  <c r="O66" i="77"/>
  <c r="O67" i="77"/>
  <c r="AF76" i="77"/>
  <c r="AF83" i="77"/>
  <c r="AF81" i="77"/>
  <c r="L29" i="77" a="1"/>
  <c r="L29" i="77" s="1"/>
  <c r="J29" i="77" a="1"/>
  <c r="J29" i="77" s="1"/>
  <c r="L26" i="77" a="1"/>
  <c r="L26" i="77" s="1"/>
  <c r="F26" i="76"/>
  <c r="K26" i="76"/>
  <c r="J26" i="76"/>
  <c r="F23" i="76"/>
  <c r="E31" i="76"/>
  <c r="K26" i="77" a="1"/>
  <c r="K26" i="77" s="1"/>
  <c r="V28" i="77" a="1"/>
  <c r="V28" i="77" s="1"/>
  <c r="W28" i="77" s="1" a="1"/>
  <c r="W28" i="77" s="1"/>
  <c r="AB28" i="77" s="1" a="1"/>
  <c r="AB28" i="77" s="1"/>
  <c r="AH31" i="77"/>
  <c r="V34" i="77" a="1"/>
  <c r="V34" i="77" s="1"/>
  <c r="W34" i="77" s="1" a="1"/>
  <c r="W34" i="77" s="1"/>
  <c r="AC34" i="77" s="1" a="1"/>
  <c r="AC34" i="77" s="1"/>
  <c r="AA36" i="77" a="1"/>
  <c r="AA36" i="77" s="1"/>
  <c r="E23" i="76"/>
  <c r="I23" i="76"/>
  <c r="F31" i="76"/>
  <c r="Q27" i="77"/>
  <c r="V33" i="77" a="1"/>
  <c r="V33" i="77" s="1"/>
  <c r="W33" i="77" s="1" a="1"/>
  <c r="W33" i="77" s="1"/>
  <c r="AB33" i="77" s="1" a="1"/>
  <c r="AB33" i="77" s="1"/>
  <c r="F28" i="76"/>
  <c r="L31" i="76"/>
  <c r="E28" i="77" a="1"/>
  <c r="E28" i="77" s="1"/>
  <c r="F28" i="77" s="1" a="1"/>
  <c r="F28" i="77" s="1"/>
  <c r="V32" i="77" a="1"/>
  <c r="V32" i="77" s="1"/>
  <c r="W32" i="77" s="1" a="1"/>
  <c r="W32" i="77" s="1"/>
  <c r="AC32" i="77" s="1" a="1"/>
  <c r="AC32" i="77" s="1"/>
  <c r="AB36" i="77" a="1"/>
  <c r="AB36" i="77" s="1"/>
  <c r="AH39" i="77"/>
  <c r="K29" i="77" a="1"/>
  <c r="K29" i="77" s="1"/>
  <c r="AH30" i="77"/>
  <c r="AA35" i="77" a="1"/>
  <c r="AA35" i="77" s="1"/>
  <c r="AH38" i="77"/>
  <c r="J28" i="76"/>
  <c r="Q26" i="77"/>
  <c r="AC36" i="77" a="1"/>
  <c r="AC36" i="77" s="1"/>
  <c r="AH37" i="77"/>
  <c r="K28" i="76"/>
  <c r="E27" i="77" a="1"/>
  <c r="E27" i="77" s="1"/>
  <c r="F27" i="77" s="1" a="1"/>
  <c r="F27" i="77" s="1"/>
  <c r="AH29" i="77"/>
  <c r="V31" i="77" a="1"/>
  <c r="V31" i="77" s="1"/>
  <c r="W31" i="77" s="1" a="1"/>
  <c r="W31" i="77" s="1"/>
  <c r="AB35" i="77" a="1"/>
  <c r="AB35" i="77" s="1"/>
  <c r="AH36" i="77"/>
  <c r="AC35" i="77" a="1"/>
  <c r="AC35" i="77" s="1"/>
  <c r="Q29" i="77"/>
  <c r="V39" i="77" a="1"/>
  <c r="V39" i="77" s="1"/>
  <c r="W39" i="77" s="1" a="1"/>
  <c r="W39" i="77" s="1"/>
  <c r="G25" i="76"/>
  <c r="V30" i="77" a="1"/>
  <c r="V30" i="77" s="1"/>
  <c r="W30" i="77" s="1" a="1"/>
  <c r="W30" i="77" s="1"/>
  <c r="AC30" i="77" s="1" a="1"/>
  <c r="AC30" i="77" s="1"/>
  <c r="H25" i="76"/>
  <c r="F29" i="76"/>
  <c r="H34" i="76"/>
  <c r="AH35" i="77"/>
  <c r="V38" i="77" a="1"/>
  <c r="V38" i="77" s="1"/>
  <c r="W38" i="77" s="1" a="1"/>
  <c r="W38" i="77" s="1"/>
  <c r="AA38" i="77" s="1" a="1"/>
  <c r="AA38" i="77" s="1"/>
  <c r="V29" i="77" a="1"/>
  <c r="V29" i="77" s="1"/>
  <c r="W29" i="77" s="1" a="1"/>
  <c r="W29" i="77" s="1"/>
  <c r="AC29" i="77" s="1" a="1"/>
  <c r="AC29" i="77" s="1"/>
  <c r="AH34" i="77"/>
  <c r="AH28" i="77"/>
  <c r="F128" i="77"/>
  <c r="O123" i="77"/>
  <c r="N24" i="76"/>
  <c r="E27" i="76"/>
  <c r="G31" i="76"/>
  <c r="J34" i="76"/>
  <c r="G23" i="76"/>
  <c r="H23" i="76"/>
  <c r="F27" i="76"/>
  <c r="E29" i="76"/>
  <c r="K31" i="76"/>
  <c r="K34" i="76"/>
  <c r="K23" i="76"/>
  <c r="I25" i="76"/>
  <c r="I27" i="76"/>
  <c r="I29" i="76"/>
  <c r="F32" i="76"/>
  <c r="N34" i="76"/>
  <c r="M23" i="76"/>
  <c r="M25" i="76"/>
  <c r="N27" i="76"/>
  <c r="K29" i="76"/>
  <c r="I32" i="76"/>
  <c r="L23" i="76"/>
  <c r="M27" i="76"/>
  <c r="H32" i="76"/>
  <c r="N23" i="76"/>
  <c r="L29" i="76"/>
  <c r="J32" i="76"/>
  <c r="H27" i="76"/>
  <c r="N32" i="76"/>
  <c r="H24" i="76"/>
  <c r="E26" i="76"/>
  <c r="H28" i="76"/>
  <c r="N29" i="76"/>
  <c r="G27" i="76"/>
  <c r="N122" i="76"/>
  <c r="O122" i="76" s="1"/>
  <c r="L33" i="76"/>
  <c r="K33" i="76"/>
  <c r="N33" i="76"/>
  <c r="J33" i="76"/>
  <c r="H33" i="76"/>
  <c r="G33" i="76"/>
  <c r="F33" i="76"/>
  <c r="E33" i="76"/>
  <c r="E30" i="76"/>
  <c r="M30" i="76"/>
  <c r="L30" i="76"/>
  <c r="K30" i="76"/>
  <c r="J30" i="76"/>
  <c r="G30" i="76"/>
  <c r="F30" i="76"/>
  <c r="N30" i="76"/>
  <c r="I24" i="76"/>
  <c r="G24" i="76"/>
  <c r="F24" i="76"/>
  <c r="N121" i="76"/>
  <c r="O121" i="76" s="1"/>
  <c r="H30" i="76"/>
  <c r="I30" i="76"/>
  <c r="I33" i="76"/>
  <c r="E24" i="76"/>
  <c r="N26" i="76"/>
  <c r="M26" i="76"/>
  <c r="L26" i="76"/>
  <c r="I26" i="76"/>
  <c r="H26" i="76"/>
  <c r="G26" i="76"/>
  <c r="D128" i="76"/>
  <c r="M28" i="76"/>
  <c r="H31" i="76"/>
  <c r="K32" i="76"/>
  <c r="K27" i="76"/>
  <c r="I31" i="76"/>
  <c r="F25" i="76"/>
  <c r="L27" i="76"/>
  <c r="J31" i="76"/>
  <c r="M32" i="76"/>
  <c r="E34" i="76"/>
  <c r="M123" i="76"/>
  <c r="M31" i="76"/>
  <c r="J25" i="76"/>
  <c r="E28" i="76"/>
  <c r="L25" i="76"/>
  <c r="G28" i="76"/>
  <c r="E32" i="76"/>
  <c r="N124" i="76"/>
  <c r="O124" i="76" s="1"/>
  <c r="G32" i="76"/>
  <c r="F41" i="13"/>
  <c r="F40" i="13"/>
  <c r="E41" i="13"/>
  <c r="E40" i="13"/>
  <c r="D37" i="13" a="1"/>
  <c r="D37" i="13" s="1"/>
  <c r="F37" i="13" s="1"/>
  <c r="D48" i="13" a="1"/>
  <c r="D48" i="13" s="1"/>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X171" i="80"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78" s="1"/>
  <c r="E188" i="74" a="1"/>
  <c r="E188" i="74" s="1"/>
  <c r="D188" i="74" a="1"/>
  <c r="D188" i="74" s="1"/>
  <c r="H187" i="74" a="1"/>
  <c r="H187" i="74" s="1"/>
  <c r="G187" i="74" a="1"/>
  <c r="G187" i="74" s="1"/>
  <c r="F187" i="74" a="1"/>
  <c r="F187" i="74" s="1"/>
  <c r="W51" i="85"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G68" i="79" s="1"/>
  <c r="D7" i="74" a="1"/>
  <c r="D7" i="74" s="1"/>
  <c r="D5" i="74" a="1"/>
  <c r="D5" i="74" s="1"/>
  <c r="E20" i="72"/>
  <c r="I14" i="83" l="1"/>
  <c r="I68" i="110"/>
  <c r="I14" i="90"/>
  <c r="I56" i="90"/>
  <c r="I29" i="82"/>
  <c r="M142" i="79"/>
  <c r="K70" i="79"/>
  <c r="F96" i="79"/>
  <c r="K162" i="79"/>
  <c r="M78" i="79"/>
  <c r="J142" i="79"/>
  <c r="I169" i="79"/>
  <c r="I94" i="79"/>
  <c r="L163" i="79"/>
  <c r="J78" i="79"/>
  <c r="E145" i="79"/>
  <c r="E70" i="79"/>
  <c r="L99" i="79"/>
  <c r="E169" i="79"/>
  <c r="E94" i="79"/>
  <c r="J140" i="79"/>
  <c r="G170" i="79"/>
  <c r="F143" i="79"/>
  <c r="I96" i="79"/>
  <c r="E94" i="76"/>
  <c r="H143" i="76"/>
  <c r="G150" i="76"/>
  <c r="I72" i="76"/>
  <c r="J76" i="76"/>
  <c r="K100" i="76"/>
  <c r="H164" i="76"/>
  <c r="J73" i="76"/>
  <c r="E99" i="76"/>
  <c r="L162" i="76"/>
  <c r="H73" i="76"/>
  <c r="E96" i="76"/>
  <c r="N150" i="76"/>
  <c r="I169" i="76"/>
  <c r="K71" i="76"/>
  <c r="L68" i="76"/>
  <c r="J136" i="79"/>
  <c r="N71" i="79"/>
  <c r="M156" i="79"/>
  <c r="N85" i="79"/>
  <c r="G61" i="79"/>
  <c r="N165" i="76"/>
  <c r="M134" i="76"/>
  <c r="I62" i="76"/>
  <c r="G63" i="76"/>
  <c r="E237" i="109"/>
  <c r="J246" i="109" a="1"/>
  <c r="J246" i="109" s="1"/>
  <c r="J241" i="109" a="1"/>
  <c r="J241" i="109" s="1"/>
  <c r="J242" i="109" a="1"/>
  <c r="J242" i="109" s="1"/>
  <c r="J245" i="109" a="1"/>
  <c r="J245" i="109" s="1"/>
  <c r="Q221" i="109"/>
  <c r="Y221" i="109"/>
  <c r="X172" i="80"/>
  <c r="I141" i="79"/>
  <c r="G69" i="79"/>
  <c r="L94" i="79"/>
  <c r="K149" i="79"/>
  <c r="E76" i="79"/>
  <c r="F141" i="79"/>
  <c r="E168" i="79"/>
  <c r="E93" i="79"/>
  <c r="L150" i="79"/>
  <c r="L75" i="79"/>
  <c r="K143" i="79"/>
  <c r="K68" i="79"/>
  <c r="H98" i="79"/>
  <c r="G166" i="79"/>
  <c r="G91" i="79"/>
  <c r="F139" i="79"/>
  <c r="M168" i="79"/>
  <c r="H140" i="79"/>
  <c r="M70" i="79"/>
  <c r="G91" i="76"/>
  <c r="F139" i="76"/>
  <c r="I147" i="76"/>
  <c r="K69" i="76"/>
  <c r="F75" i="76"/>
  <c r="G99" i="76"/>
  <c r="N162" i="76"/>
  <c r="L70" i="76"/>
  <c r="K97" i="76"/>
  <c r="L149" i="76"/>
  <c r="J70" i="76"/>
  <c r="G93" i="76"/>
  <c r="L146" i="76"/>
  <c r="E168" i="76"/>
  <c r="M68" i="76"/>
  <c r="H67" i="76"/>
  <c r="L133" i="79"/>
  <c r="H136" i="79"/>
  <c r="F136" i="79"/>
  <c r="F83" i="79"/>
  <c r="L157" i="79"/>
  <c r="E135" i="76"/>
  <c r="E64" i="76"/>
  <c r="N156" i="76"/>
  <c r="M61" i="76"/>
  <c r="G62" i="76"/>
  <c r="F167" i="79"/>
  <c r="J244" i="109" a="1"/>
  <c r="J244" i="109" s="1"/>
  <c r="K172" i="79"/>
  <c r="E140" i="79"/>
  <c r="J172" i="79"/>
  <c r="J90" i="79"/>
  <c r="G148" i="79"/>
  <c r="G73" i="79"/>
  <c r="L139" i="79"/>
  <c r="K166" i="79"/>
  <c r="G90" i="79"/>
  <c r="H149" i="79"/>
  <c r="N72" i="79"/>
  <c r="G142" i="79"/>
  <c r="G67" i="79"/>
  <c r="J95" i="79"/>
  <c r="M164" i="79"/>
  <c r="E74" i="79"/>
  <c r="N100" i="79"/>
  <c r="I167" i="79"/>
  <c r="H99" i="79"/>
  <c r="I170" i="76"/>
  <c r="G78" i="76"/>
  <c r="F98" i="76"/>
  <c r="E146" i="76"/>
  <c r="G68" i="76"/>
  <c r="L73" i="76"/>
  <c r="I96" i="76"/>
  <c r="J161" i="76"/>
  <c r="N67" i="76"/>
  <c r="M94" i="76"/>
  <c r="J145" i="76"/>
  <c r="L67" i="76"/>
  <c r="I90" i="76"/>
  <c r="H145" i="76"/>
  <c r="G165" i="76"/>
  <c r="N167" i="76"/>
  <c r="E171" i="80"/>
  <c r="F85" i="79"/>
  <c r="J133" i="79"/>
  <c r="G71" i="79"/>
  <c r="G64" i="79"/>
  <c r="H156" i="79"/>
  <c r="K133" i="76"/>
  <c r="K62" i="76"/>
  <c r="I139" i="76"/>
  <c r="N168" i="76"/>
  <c r="G157" i="76"/>
  <c r="J240" i="109" a="1"/>
  <c r="J240" i="109" s="1"/>
  <c r="G171" i="79"/>
  <c r="I100" i="79"/>
  <c r="L169" i="79"/>
  <c r="F89" i="79"/>
  <c r="M146" i="79"/>
  <c r="M71" i="79"/>
  <c r="L98" i="79"/>
  <c r="M163" i="79"/>
  <c r="K78" i="79"/>
  <c r="N147" i="79"/>
  <c r="J71" i="79"/>
  <c r="I139" i="79"/>
  <c r="J170" i="79"/>
  <c r="F94" i="79"/>
  <c r="I163" i="79"/>
  <c r="K72" i="79"/>
  <c r="F98" i="79"/>
  <c r="G163" i="79"/>
  <c r="J96" i="79"/>
  <c r="K167" i="76"/>
  <c r="I75" i="76"/>
  <c r="L96" i="76"/>
  <c r="K144" i="76"/>
  <c r="L168" i="76"/>
  <c r="H72" i="76"/>
  <c r="K93" i="76"/>
  <c r="F147" i="76"/>
  <c r="K172" i="76"/>
  <c r="E92" i="76"/>
  <c r="F144" i="76"/>
  <c r="I172" i="76"/>
  <c r="E89" i="76"/>
  <c r="J142" i="76"/>
  <c r="M163" i="76"/>
  <c r="F165" i="76"/>
  <c r="G28" i="81"/>
  <c r="N149" i="79"/>
  <c r="H86" i="79"/>
  <c r="I64" i="79"/>
  <c r="I61" i="79"/>
  <c r="G150" i="79"/>
  <c r="J85" i="76"/>
  <c r="G61" i="76"/>
  <c r="G134" i="76"/>
  <c r="N90" i="76"/>
  <c r="M84" i="76"/>
  <c r="L70" i="79"/>
  <c r="G49" i="109" a="1"/>
  <c r="G49" i="109" s="1"/>
  <c r="G48" i="109" a="1"/>
  <c r="G48" i="109" s="1"/>
  <c r="J45" i="109" a="1"/>
  <c r="J45" i="109" s="1"/>
  <c r="G576" i="109"/>
  <c r="G232" i="81"/>
  <c r="G51" i="104"/>
  <c r="G82" i="89"/>
  <c r="Q43" i="103"/>
  <c r="G83" i="85"/>
  <c r="G39" i="83"/>
  <c r="Z279" i="80"/>
  <c r="G43" i="103"/>
  <c r="X164" i="77"/>
  <c r="Q51" i="104"/>
  <c r="P39" i="83"/>
  <c r="G131" i="77"/>
  <c r="Q38" i="82"/>
  <c r="G38" i="82"/>
  <c r="G97" i="90"/>
  <c r="O576" i="109"/>
  <c r="X270" i="81"/>
  <c r="G149" i="89"/>
  <c r="G53" i="87"/>
  <c r="P91" i="85"/>
  <c r="G247" i="80"/>
  <c r="J243" i="109" a="1"/>
  <c r="J243" i="109" s="1"/>
  <c r="J238" i="109" a="1"/>
  <c r="J238" i="109" s="1"/>
  <c r="M169" i="79"/>
  <c r="E99" i="79"/>
  <c r="H168" i="79"/>
  <c r="J77" i="79"/>
  <c r="I145" i="79"/>
  <c r="E69" i="79"/>
  <c r="H97" i="79"/>
  <c r="E161" i="79"/>
  <c r="G77" i="79"/>
  <c r="J146" i="79"/>
  <c r="L68" i="79"/>
  <c r="M99" i="79"/>
  <c r="L167" i="79"/>
  <c r="L92" i="79"/>
  <c r="E162" i="79"/>
  <c r="H170" i="79"/>
  <c r="L96" i="79"/>
  <c r="E98" i="79"/>
  <c r="F95" i="79"/>
  <c r="G166" i="76"/>
  <c r="E74" i="76"/>
  <c r="J92" i="76"/>
  <c r="G143" i="76"/>
  <c r="J164" i="76"/>
  <c r="F68" i="76"/>
  <c r="M90" i="76"/>
  <c r="H144" i="76"/>
  <c r="G171" i="76"/>
  <c r="K90" i="76"/>
  <c r="L142" i="76"/>
  <c r="K169" i="76"/>
  <c r="M78" i="76"/>
  <c r="F100" i="76"/>
  <c r="E148" i="76"/>
  <c r="H162" i="76"/>
  <c r="E28" i="81"/>
  <c r="H96" i="79"/>
  <c r="N84" i="79"/>
  <c r="E63" i="79"/>
  <c r="I134" i="79"/>
  <c r="E139" i="79"/>
  <c r="K75" i="76"/>
  <c r="H98" i="76"/>
  <c r="H83" i="76"/>
  <c r="G155" i="76"/>
  <c r="N172" i="76"/>
  <c r="E181" i="76"/>
  <c r="I158" i="76"/>
  <c r="M148" i="79"/>
  <c r="J35" i="93"/>
  <c r="I551" i="109"/>
  <c r="J239" i="109" a="1"/>
  <c r="J239" i="109" s="1"/>
  <c r="I168" i="79"/>
  <c r="G96" i="79"/>
  <c r="J165" i="79"/>
  <c r="L74" i="79"/>
  <c r="K142" i="79"/>
  <c r="K67" i="79"/>
  <c r="J94" i="79"/>
  <c r="M150" i="79"/>
  <c r="I74" i="79"/>
  <c r="L143" i="79"/>
  <c r="H67" i="79"/>
  <c r="I98" i="79"/>
  <c r="H166" i="79"/>
  <c r="N89" i="79"/>
  <c r="E149" i="79"/>
  <c r="N168" i="79"/>
  <c r="H95" i="79"/>
  <c r="K96" i="79"/>
  <c r="L93" i="79"/>
  <c r="I163" i="76"/>
  <c r="K72" i="76"/>
  <c r="L89" i="76"/>
  <c r="I140" i="76"/>
  <c r="L161" i="76"/>
  <c r="I171" i="76"/>
  <c r="I89" i="76"/>
  <c r="N142" i="76"/>
  <c r="M169" i="76"/>
  <c r="K77" i="76"/>
  <c r="H141" i="76"/>
  <c r="I165" i="76"/>
  <c r="E76" i="76"/>
  <c r="H97" i="76"/>
  <c r="G145" i="76"/>
  <c r="L150" i="76"/>
  <c r="M28" i="81"/>
  <c r="F72" i="79"/>
  <c r="K64" i="79"/>
  <c r="K61" i="79"/>
  <c r="M89" i="79"/>
  <c r="I68" i="79"/>
  <c r="I61" i="76"/>
  <c r="E156" i="76"/>
  <c r="M156" i="76"/>
  <c r="I84" i="76"/>
  <c r="X128" i="109" a="1"/>
  <c r="X128" i="109" s="1"/>
  <c r="K63" i="76"/>
  <c r="I76" i="79"/>
  <c r="L135" i="76"/>
  <c r="J31" i="97"/>
  <c r="I31" i="97"/>
  <c r="K31" i="97"/>
  <c r="H31" i="97"/>
  <c r="G31" i="97"/>
  <c r="E150" i="79"/>
  <c r="E35" i="110" a="1"/>
  <c r="E35" i="110" s="1"/>
  <c r="I48" i="110" s="1"/>
  <c r="O35" i="110" a="1"/>
  <c r="O35" i="110" s="1"/>
  <c r="S48" i="110" s="1"/>
  <c r="D170" i="74"/>
  <c r="J37" i="104"/>
  <c r="I33" i="83"/>
  <c r="E167" i="79"/>
  <c r="I93" i="79"/>
  <c r="F164" i="79"/>
  <c r="H73" i="79"/>
  <c r="M139" i="79"/>
  <c r="I72" i="79"/>
  <c r="F93" i="79"/>
  <c r="E148" i="79"/>
  <c r="E73" i="79"/>
  <c r="N140" i="79"/>
  <c r="E172" i="79"/>
  <c r="E97" i="79"/>
  <c r="J163" i="79"/>
  <c r="H78" i="79"/>
  <c r="G146" i="79"/>
  <c r="J167" i="79"/>
  <c r="N93" i="79"/>
  <c r="J171" i="79"/>
  <c r="H92" i="79"/>
  <c r="I150" i="76"/>
  <c r="M69" i="76"/>
  <c r="H75" i="76"/>
  <c r="M100" i="76"/>
  <c r="F150" i="76"/>
  <c r="K168" i="76"/>
  <c r="M77" i="76"/>
  <c r="F140" i="76"/>
  <c r="E167" i="76"/>
  <c r="M74" i="76"/>
  <c r="H100" i="76"/>
  <c r="K162" i="76"/>
  <c r="G73" i="76"/>
  <c r="N95" i="76"/>
  <c r="M143" i="76"/>
  <c r="H149" i="76"/>
  <c r="G135" i="79"/>
  <c r="E181" i="79"/>
  <c r="E166" i="80" s="1"/>
  <c r="G143" i="79"/>
  <c r="F158" i="79"/>
  <c r="I84" i="79"/>
  <c r="J62" i="79"/>
  <c r="G162" i="76"/>
  <c r="G85" i="76"/>
  <c r="I155" i="76"/>
  <c r="J64" i="76"/>
  <c r="E85" i="76"/>
  <c r="H25" i="104"/>
  <c r="F156" i="79"/>
  <c r="J191" i="76" a="1"/>
  <c r="J191" i="76" s="1"/>
  <c r="H23" i="109" s="1" a="1"/>
  <c r="J47" i="109" a="1"/>
  <c r="J47" i="109" s="1"/>
  <c r="G164" i="79"/>
  <c r="E92" i="79"/>
  <c r="L162" i="79"/>
  <c r="J70" i="79"/>
  <c r="G100" i="79"/>
  <c r="J169" i="79"/>
  <c r="H90" i="79"/>
  <c r="K146" i="79"/>
  <c r="K71" i="79"/>
  <c r="J139" i="79"/>
  <c r="G169" i="79"/>
  <c r="G94" i="79"/>
  <c r="F162" i="79"/>
  <c r="N76" i="79"/>
  <c r="M144" i="79"/>
  <c r="L164" i="79"/>
  <c r="F91" i="79"/>
  <c r="L168" i="79"/>
  <c r="N77" i="79"/>
  <c r="K147" i="76"/>
  <c r="E67" i="76"/>
  <c r="J72" i="76"/>
  <c r="I99" i="76"/>
  <c r="L148" i="76"/>
  <c r="M165" i="76"/>
  <c r="I76" i="76"/>
  <c r="F99" i="76"/>
  <c r="G164" i="76"/>
  <c r="E72" i="76"/>
  <c r="J97" i="76"/>
  <c r="G161" i="76"/>
  <c r="M71" i="76"/>
  <c r="J94" i="76"/>
  <c r="E141" i="76"/>
  <c r="N147" i="76"/>
  <c r="G95" i="79"/>
  <c r="F157" i="79"/>
  <c r="M134" i="79"/>
  <c r="E86" i="79"/>
  <c r="E83" i="79"/>
  <c r="F61" i="79"/>
  <c r="K157" i="76"/>
  <c r="I71" i="76"/>
  <c r="N136" i="76"/>
  <c r="L61" i="76"/>
  <c r="AA239" i="109" a="1"/>
  <c r="AA239" i="109" s="1"/>
  <c r="E134" i="79"/>
  <c r="J170" i="76"/>
  <c r="L40" i="97" a="1"/>
  <c r="L40" i="97" s="1"/>
  <c r="G44" i="109" a="1"/>
  <c r="G44" i="109" s="1"/>
  <c r="J50" i="109" a="1"/>
  <c r="J50" i="109" s="1"/>
  <c r="G50" i="109" a="1"/>
  <c r="G50" i="109" s="1"/>
  <c r="H369" i="109" a="1"/>
  <c r="H369" i="109" s="1"/>
  <c r="I161" i="79"/>
  <c r="K90" i="79"/>
  <c r="H161" i="79"/>
  <c r="F69" i="79"/>
  <c r="I97" i="79"/>
  <c r="F168" i="79"/>
  <c r="H77" i="79"/>
  <c r="G145" i="79"/>
  <c r="G70" i="79"/>
  <c r="J98" i="79"/>
  <c r="M167" i="79"/>
  <c r="I91" i="79"/>
  <c r="J150" i="79"/>
  <c r="J75" i="79"/>
  <c r="E142" i="79"/>
  <c r="H163" i="79"/>
  <c r="L76" i="79"/>
  <c r="N165" i="79"/>
  <c r="F75" i="79"/>
  <c r="G146" i="76"/>
  <c r="L171" i="76"/>
  <c r="F71" i="76"/>
  <c r="K96" i="76"/>
  <c r="H147" i="76"/>
  <c r="E163" i="76"/>
  <c r="K73" i="76"/>
  <c r="H96" i="76"/>
  <c r="I161" i="76"/>
  <c r="G69" i="76"/>
  <c r="F96" i="76"/>
  <c r="K149" i="76"/>
  <c r="K67" i="76"/>
  <c r="F93" i="76"/>
  <c r="K98" i="76"/>
  <c r="L143" i="76"/>
  <c r="G85" i="79"/>
  <c r="I136" i="79"/>
  <c r="I133" i="79"/>
  <c r="K84" i="79"/>
  <c r="F64" i="79"/>
  <c r="F140" i="79"/>
  <c r="G156" i="76"/>
  <c r="J62" i="76"/>
  <c r="F134" i="76"/>
  <c r="F142" i="76"/>
  <c r="AA237" i="109" a="1"/>
  <c r="AA237" i="109" s="1"/>
  <c r="S237" i="109" a="1"/>
  <c r="S237" i="109" s="1"/>
  <c r="K157" i="79"/>
  <c r="AE33" i="80" a="1"/>
  <c r="AE33" i="80" s="1"/>
  <c r="AC34" i="80" a="1"/>
  <c r="AC34" i="80" s="1"/>
  <c r="G47" i="109" a="1"/>
  <c r="G47" i="109" s="1"/>
  <c r="J46" i="109" a="1"/>
  <c r="J46" i="109" s="1"/>
  <c r="M149" i="79"/>
  <c r="G89" i="79"/>
  <c r="H148" i="79"/>
  <c r="I172" i="79"/>
  <c r="E96" i="79"/>
  <c r="L166" i="79"/>
  <c r="J74" i="79"/>
  <c r="I142" i="79"/>
  <c r="I67" i="79"/>
  <c r="F97" i="79"/>
  <c r="I166" i="79"/>
  <c r="E90" i="79"/>
  <c r="L147" i="79"/>
  <c r="L72" i="79"/>
  <c r="K140" i="79"/>
  <c r="N161" i="79"/>
  <c r="H75" i="79"/>
  <c r="J164" i="79"/>
  <c r="L73" i="79"/>
  <c r="I143" i="76"/>
  <c r="J167" i="76"/>
  <c r="L69" i="76"/>
  <c r="I92" i="76"/>
  <c r="F143" i="76"/>
  <c r="E150" i="76"/>
  <c r="I69" i="76"/>
  <c r="N94" i="76"/>
  <c r="M149" i="76"/>
  <c r="M67" i="76"/>
  <c r="H93" i="76"/>
  <c r="G148" i="76"/>
  <c r="N170" i="76"/>
  <c r="L78" i="76"/>
  <c r="K91" i="76"/>
  <c r="F97" i="76"/>
  <c r="M83" i="79"/>
  <c r="E135" i="79"/>
  <c r="I92" i="79"/>
  <c r="E71" i="79"/>
  <c r="K164" i="79"/>
  <c r="I156" i="76"/>
  <c r="H136" i="76"/>
  <c r="N73" i="76"/>
  <c r="G83" i="76"/>
  <c r="G135" i="76"/>
  <c r="N78" i="79"/>
  <c r="N163" i="79"/>
  <c r="F84" i="79"/>
  <c r="AA240" i="109" a="1"/>
  <c r="AA240" i="109" s="1"/>
  <c r="L33" i="97" a="1"/>
  <c r="L33" i="97" s="1"/>
  <c r="I148" i="79"/>
  <c r="K77" i="79"/>
  <c r="J145" i="79"/>
  <c r="K169" i="79"/>
  <c r="K94" i="79"/>
  <c r="H165" i="79"/>
  <c r="L71" i="79"/>
  <c r="E141" i="79"/>
  <c r="L170" i="79"/>
  <c r="L95" i="79"/>
  <c r="E165" i="79"/>
  <c r="E77" i="79"/>
  <c r="H146" i="79"/>
  <c r="N69" i="79"/>
  <c r="G139" i="79"/>
  <c r="H150" i="79"/>
  <c r="J72" i="79"/>
  <c r="F163" i="79"/>
  <c r="N70" i="79"/>
  <c r="E142" i="76"/>
  <c r="L164" i="76"/>
  <c r="K171" i="76"/>
  <c r="K89" i="76"/>
  <c r="H140" i="76"/>
  <c r="K148" i="76"/>
  <c r="E68" i="76"/>
  <c r="J93" i="76"/>
  <c r="E147" i="76"/>
  <c r="J172" i="76"/>
  <c r="J90" i="76"/>
  <c r="I145" i="76"/>
  <c r="L166" i="76"/>
  <c r="N75" i="76"/>
  <c r="G90" i="76"/>
  <c r="L95" i="76"/>
  <c r="I75" i="79"/>
  <c r="E75" i="79"/>
  <c r="G86" i="79"/>
  <c r="N62" i="79"/>
  <c r="I156" i="79"/>
  <c r="G84" i="76"/>
  <c r="I85" i="76"/>
  <c r="E136" i="76"/>
  <c r="H91" i="76"/>
  <c r="M133" i="76"/>
  <c r="N75" i="79"/>
  <c r="K83" i="76"/>
  <c r="H85" i="79"/>
  <c r="D164" i="74"/>
  <c r="J15" i="104"/>
  <c r="AC38" i="80" a="1"/>
  <c r="AC38" i="80" s="1"/>
  <c r="G45" i="109" a="1"/>
  <c r="G45" i="109" s="1"/>
  <c r="H438" i="109" a="1"/>
  <c r="H438" i="109" s="1"/>
  <c r="E147" i="79"/>
  <c r="G76" i="79"/>
  <c r="F144" i="79"/>
  <c r="G168" i="79"/>
  <c r="M91" i="79"/>
  <c r="F161" i="79"/>
  <c r="H70" i="79"/>
  <c r="K139" i="79"/>
  <c r="H169" i="79"/>
  <c r="N92" i="79"/>
  <c r="G162" i="79"/>
  <c r="K75" i="79"/>
  <c r="N144" i="79"/>
  <c r="J68" i="79"/>
  <c r="G98" i="79"/>
  <c r="J147" i="79"/>
  <c r="F71" i="79"/>
  <c r="L161" i="79"/>
  <c r="F68" i="79"/>
  <c r="G139" i="76"/>
  <c r="J147" i="76"/>
  <c r="M168" i="76"/>
  <c r="E78" i="76"/>
  <c r="L100" i="76"/>
  <c r="G147" i="76"/>
  <c r="H171" i="76"/>
  <c r="F92" i="76"/>
  <c r="G144" i="76"/>
  <c r="L169" i="76"/>
  <c r="J77" i="76"/>
  <c r="K142" i="76"/>
  <c r="H165" i="76"/>
  <c r="L71" i="76"/>
  <c r="K78" i="76"/>
  <c r="N92" i="76"/>
  <c r="J63" i="79"/>
  <c r="H63" i="79"/>
  <c r="N146" i="79"/>
  <c r="E158" i="79"/>
  <c r="G140" i="79"/>
  <c r="E77" i="76"/>
  <c r="J163" i="76"/>
  <c r="K134" i="76"/>
  <c r="G169" i="76"/>
  <c r="M92" i="76"/>
  <c r="D19" i="85"/>
  <c r="F19" i="85" s="1" a="1"/>
  <c r="F19" i="85" s="1"/>
  <c r="F34" i="85" a="1"/>
  <c r="F34" i="85" s="1"/>
  <c r="F27" i="85" a="1"/>
  <c r="F27" i="85" s="1"/>
  <c r="F20" i="85" a="1"/>
  <c r="F20" i="85" s="1"/>
  <c r="F33" i="85" a="1"/>
  <c r="F33" i="85" s="1"/>
  <c r="F26" i="85" a="1"/>
  <c r="F26" i="85" s="1"/>
  <c r="F32" i="85" a="1"/>
  <c r="F32" i="85" s="1"/>
  <c r="F25" i="85" a="1"/>
  <c r="F25" i="85" s="1"/>
  <c r="F31" i="85" a="1"/>
  <c r="F31" i="85" s="1"/>
  <c r="F24" i="85" a="1"/>
  <c r="F24" i="85" s="1"/>
  <c r="F30" i="85" a="1"/>
  <c r="F30" i="85" s="1"/>
  <c r="F29" i="85" a="1"/>
  <c r="F29" i="85" s="1"/>
  <c r="F28" i="85" a="1"/>
  <c r="F28" i="85" s="1"/>
  <c r="F37" i="85" a="1"/>
  <c r="F37" i="85" s="1"/>
  <c r="F36" i="85" a="1"/>
  <c r="F36" i="85" s="1"/>
  <c r="F23" i="85" a="1"/>
  <c r="F23" i="85" s="1"/>
  <c r="F35" i="85" a="1"/>
  <c r="F35" i="85" s="1"/>
  <c r="F22" i="85" a="1"/>
  <c r="F22" i="85" s="1"/>
  <c r="F21" i="85" a="1"/>
  <c r="F21" i="85" s="1"/>
  <c r="N162" i="79"/>
  <c r="E180" i="76"/>
  <c r="G86" i="76"/>
  <c r="H38" i="96" a="1"/>
  <c r="H38" i="96" s="1"/>
  <c r="K38" i="96" a="1"/>
  <c r="K38" i="96" s="1"/>
  <c r="G38" i="96" a="1"/>
  <c r="G38" i="96" s="1"/>
  <c r="J38" i="96" a="1"/>
  <c r="J38" i="96" s="1"/>
  <c r="J85" i="79"/>
  <c r="W239" i="109" a="1"/>
  <c r="W239" i="109" s="1"/>
  <c r="AA242" i="109" a="1"/>
  <c r="AA242" i="109" s="1"/>
  <c r="W241" i="109" a="1"/>
  <c r="W241" i="109" s="1"/>
  <c r="T122" i="109" a="1"/>
  <c r="T122" i="109" s="1"/>
  <c r="W246" i="109" a="1"/>
  <c r="W246" i="109" s="1"/>
  <c r="AA245" i="109" a="1"/>
  <c r="AA245" i="109" s="1"/>
  <c r="S242" i="109" a="1"/>
  <c r="S242" i="109" s="1"/>
  <c r="AA238" i="109" a="1"/>
  <c r="AA238" i="109" s="1"/>
  <c r="W243" i="109" a="1"/>
  <c r="W243" i="109" s="1"/>
  <c r="AB121" i="109" a="1"/>
  <c r="AB121" i="109" s="1"/>
  <c r="X124" i="109" a="1"/>
  <c r="X124" i="109" s="1"/>
  <c r="S245" i="109" a="1"/>
  <c r="S245" i="109" s="1"/>
  <c r="F245" i="109" s="1" a="1"/>
  <c r="F245" i="109" s="1"/>
  <c r="G245" i="109" s="1" a="1"/>
  <c r="G245" i="109" s="1"/>
  <c r="AB128" i="109" a="1"/>
  <c r="AB128" i="109" s="1"/>
  <c r="AA241" i="109" a="1"/>
  <c r="AA241" i="109" s="1"/>
  <c r="AB120" i="109" a="1"/>
  <c r="AB120" i="109" s="1"/>
  <c r="S244" i="109" a="1"/>
  <c r="S244" i="109" s="1"/>
  <c r="S246" i="109" a="1"/>
  <c r="S246" i="109" s="1"/>
  <c r="AE238" i="109" a="1"/>
  <c r="AE238" i="109" s="1"/>
  <c r="AB123" i="109" a="1"/>
  <c r="AB123" i="109" s="1"/>
  <c r="AE243" i="109" a="1"/>
  <c r="AE243" i="109" s="1"/>
  <c r="X121" i="109" a="1"/>
  <c r="X121" i="109" s="1"/>
  <c r="AE246" i="109" a="1"/>
  <c r="AE246" i="109" s="1"/>
  <c r="AB126" i="109" a="1"/>
  <c r="AB126" i="109" s="1"/>
  <c r="W244" i="109" a="1"/>
  <c r="W244" i="109" s="1"/>
  <c r="AE244" i="109" a="1"/>
  <c r="AE244" i="109" s="1"/>
  <c r="S243" i="109" a="1"/>
  <c r="S243" i="109" s="1"/>
  <c r="S241" i="109" a="1"/>
  <c r="S241" i="109" s="1"/>
  <c r="T127" i="109" a="1"/>
  <c r="T127" i="109" s="1"/>
  <c r="X119" i="109" a="1"/>
  <c r="X119" i="109" s="1"/>
  <c r="W242" i="109" a="1"/>
  <c r="W242" i="109" s="1"/>
  <c r="AA246" i="109" a="1"/>
  <c r="AA246" i="109" s="1"/>
  <c r="AB125" i="109" a="1"/>
  <c r="AB125" i="109" s="1"/>
  <c r="AB122" i="109" a="1"/>
  <c r="AB122" i="109" s="1"/>
  <c r="X125" i="109" a="1"/>
  <c r="X125" i="109" s="1"/>
  <c r="S238" i="109" a="1"/>
  <c r="S238" i="109" s="1"/>
  <c r="W245" i="109" a="1"/>
  <c r="W245" i="109" s="1"/>
  <c r="AA243" i="109" a="1"/>
  <c r="AA243" i="109" s="1"/>
  <c r="N67" i="79"/>
  <c r="I28" i="81"/>
  <c r="M77" i="79"/>
  <c r="K63" i="79"/>
  <c r="H135" i="79"/>
  <c r="N86" i="79"/>
  <c r="N135" i="76"/>
  <c r="F99" i="79"/>
  <c r="H62" i="76"/>
  <c r="E133" i="76"/>
  <c r="K136" i="76"/>
  <c r="M85" i="76"/>
  <c r="K64" i="76"/>
  <c r="N145" i="76"/>
  <c r="G158" i="76"/>
  <c r="H158" i="76"/>
  <c r="E145" i="76"/>
  <c r="K86" i="76"/>
  <c r="M72" i="76"/>
  <c r="H61" i="76"/>
  <c r="L99" i="76"/>
  <c r="I136" i="76"/>
  <c r="I91" i="76"/>
  <c r="E78" i="79"/>
  <c r="E64" i="79"/>
  <c r="H89" i="79"/>
  <c r="I140" i="79"/>
  <c r="J134" i="79"/>
  <c r="E91" i="79"/>
  <c r="L84" i="79"/>
  <c r="N170" i="79"/>
  <c r="N156" i="79"/>
  <c r="I144" i="79"/>
  <c r="E85" i="79"/>
  <c r="E62" i="79"/>
  <c r="K158" i="79"/>
  <c r="K136" i="79"/>
  <c r="F70" i="76"/>
  <c r="N99" i="76"/>
  <c r="E67" i="79"/>
  <c r="K28" i="81"/>
  <c r="G67" i="76"/>
  <c r="L155" i="76"/>
  <c r="E163" i="79"/>
  <c r="E84" i="79"/>
  <c r="K148" i="79"/>
  <c r="I86" i="76"/>
  <c r="F157" i="76"/>
  <c r="F155" i="76"/>
  <c r="G94" i="76"/>
  <c r="F83" i="76"/>
  <c r="F169" i="76"/>
  <c r="K170" i="76"/>
  <c r="E172" i="76"/>
  <c r="N155" i="76"/>
  <c r="H133" i="76"/>
  <c r="N83" i="76"/>
  <c r="L62" i="76"/>
  <c r="N76" i="76"/>
  <c r="K150" i="76"/>
  <c r="L133" i="76"/>
  <c r="G84" i="79"/>
  <c r="I69" i="79"/>
  <c r="N142" i="79"/>
  <c r="F155" i="79"/>
  <c r="N135" i="79"/>
  <c r="G133" i="79"/>
  <c r="F86" i="79"/>
  <c r="L61" i="79"/>
  <c r="H158" i="79"/>
  <c r="K155" i="79"/>
  <c r="I86" i="79"/>
  <c r="I63" i="79"/>
  <c r="J73" i="79"/>
  <c r="E146" i="79"/>
  <c r="J71" i="76"/>
  <c r="J139" i="76"/>
  <c r="H169" i="76"/>
  <c r="E93" i="76"/>
  <c r="M150" i="76"/>
  <c r="F73" i="76"/>
  <c r="F141" i="76"/>
  <c r="J169" i="76"/>
  <c r="M91" i="76"/>
  <c r="L90" i="79"/>
  <c r="N91" i="79"/>
  <c r="J28" i="81"/>
  <c r="L136" i="79"/>
  <c r="E61" i="79"/>
  <c r="M86" i="79"/>
  <c r="J134" i="76"/>
  <c r="J95" i="76"/>
  <c r="M155" i="76"/>
  <c r="N74" i="79"/>
  <c r="J156" i="76"/>
  <c r="N133" i="76"/>
  <c r="J84" i="76"/>
  <c r="N61" i="76"/>
  <c r="E62" i="76"/>
  <c r="N96" i="76"/>
  <c r="H157" i="76"/>
  <c r="L134" i="76"/>
  <c r="H85" i="76"/>
  <c r="F64" i="76"/>
  <c r="N100" i="76"/>
  <c r="H156" i="76"/>
  <c r="F135" i="76"/>
  <c r="K85" i="79"/>
  <c r="G78" i="79"/>
  <c r="N166" i="79"/>
  <c r="J156" i="79"/>
  <c r="K141" i="79"/>
  <c r="K134" i="79"/>
  <c r="G92" i="79"/>
  <c r="F63" i="79"/>
  <c r="M172" i="79"/>
  <c r="E157" i="79"/>
  <c r="M93" i="79"/>
  <c r="M64" i="79"/>
  <c r="L97" i="79"/>
  <c r="N155" i="79"/>
  <c r="N72" i="76"/>
  <c r="N140" i="76"/>
  <c r="L170" i="76"/>
  <c r="I94" i="76"/>
  <c r="E161" i="76"/>
  <c r="J74" i="76"/>
  <c r="L145" i="79"/>
  <c r="H146" i="76"/>
  <c r="F147" i="79"/>
  <c r="I85" i="79"/>
  <c r="J157" i="79"/>
  <c r="M63" i="79"/>
  <c r="K158" i="76"/>
  <c r="F149" i="76"/>
  <c r="J63" i="76"/>
  <c r="J161" i="79"/>
  <c r="H78" i="76"/>
  <c r="N157" i="76"/>
  <c r="H135" i="76"/>
  <c r="N85" i="76"/>
  <c r="H63" i="76"/>
  <c r="I63" i="76"/>
  <c r="J150" i="76"/>
  <c r="L158" i="76"/>
  <c r="F136" i="76"/>
  <c r="L86" i="76"/>
  <c r="G74" i="76"/>
  <c r="L140" i="76"/>
  <c r="L157" i="76"/>
  <c r="J136" i="76"/>
  <c r="I89" i="79"/>
  <c r="H84" i="79"/>
  <c r="H61" i="79"/>
  <c r="N157" i="79"/>
  <c r="G155" i="79"/>
  <c r="E136" i="79"/>
  <c r="H133" i="79"/>
  <c r="J64" i="79"/>
  <c r="M61" i="79"/>
  <c r="I158" i="79"/>
  <c r="K133" i="79"/>
  <c r="G75" i="79"/>
  <c r="N150" i="79"/>
  <c r="H157" i="79"/>
  <c r="H74" i="76"/>
  <c r="H142" i="76"/>
  <c r="F172" i="76"/>
  <c r="M95" i="76"/>
  <c r="I162" i="76"/>
  <c r="H144" i="79"/>
  <c r="N169" i="79"/>
  <c r="J68" i="76"/>
  <c r="H171" i="79"/>
  <c r="I62" i="79"/>
  <c r="F134" i="79"/>
  <c r="N136" i="79"/>
  <c r="H76" i="79"/>
  <c r="E157" i="76"/>
  <c r="H166" i="76"/>
  <c r="I166" i="76"/>
  <c r="L136" i="76"/>
  <c r="K95" i="76"/>
  <c r="L64" i="76"/>
  <c r="M64" i="76"/>
  <c r="E61" i="76"/>
  <c r="L72" i="76"/>
  <c r="I146" i="76"/>
  <c r="I133" i="76"/>
  <c r="E84" i="76"/>
  <c r="N164" i="76"/>
  <c r="K163" i="76"/>
  <c r="E155" i="76"/>
  <c r="K100" i="79"/>
  <c r="L85" i="79"/>
  <c r="L62" i="79"/>
  <c r="M165" i="79"/>
  <c r="K156" i="79"/>
  <c r="M141" i="79"/>
  <c r="L134" i="79"/>
  <c r="K73" i="79"/>
  <c r="G63" i="79"/>
  <c r="E180" i="79"/>
  <c r="E165" i="80" s="1"/>
  <c r="K76" i="79"/>
  <c r="N68" i="79"/>
  <c r="J135" i="79"/>
  <c r="I157" i="79"/>
  <c r="L63" i="79"/>
  <c r="N93" i="76"/>
  <c r="N139" i="79"/>
  <c r="H71" i="76"/>
  <c r="E63" i="76"/>
  <c r="N89" i="76"/>
  <c r="K156" i="76"/>
  <c r="I135" i="76"/>
  <c r="K84" i="76"/>
  <c r="L84" i="76"/>
  <c r="M63" i="76"/>
  <c r="N97" i="76"/>
  <c r="I157" i="76"/>
  <c r="G136" i="76"/>
  <c r="M86" i="76"/>
  <c r="M62" i="76"/>
  <c r="N141" i="76"/>
  <c r="M157" i="76"/>
  <c r="K135" i="79"/>
  <c r="M100" i="79"/>
  <c r="K69" i="79"/>
  <c r="M62" i="79"/>
  <c r="G167" i="79"/>
  <c r="L156" i="79"/>
  <c r="E143" i="79"/>
  <c r="M84" i="79"/>
  <c r="M73" i="79"/>
  <c r="N95" i="79"/>
  <c r="K144" i="79"/>
  <c r="J86" i="79"/>
  <c r="N64" i="79"/>
  <c r="D28" i="81"/>
  <c r="J78" i="76"/>
  <c r="J146" i="76"/>
  <c r="G70" i="76"/>
  <c r="E100" i="76"/>
  <c r="K166" i="76"/>
  <c r="H90" i="76"/>
  <c r="F148" i="76"/>
  <c r="I70" i="76"/>
  <c r="M98" i="76"/>
  <c r="M166" i="76"/>
  <c r="F89" i="76"/>
  <c r="N146" i="76"/>
  <c r="K70" i="76"/>
  <c r="I100" i="76"/>
  <c r="I168" i="76"/>
  <c r="L90" i="76"/>
  <c r="J148" i="76"/>
  <c r="G72" i="76"/>
  <c r="G140" i="76"/>
  <c r="E170" i="76"/>
  <c r="H99" i="76"/>
  <c r="F170" i="76"/>
  <c r="G95" i="76"/>
  <c r="M161" i="76"/>
  <c r="F78" i="76"/>
  <c r="H150" i="76"/>
  <c r="M76" i="76"/>
  <c r="M144" i="76"/>
  <c r="G72" i="79"/>
  <c r="N90" i="79"/>
  <c r="L148" i="79"/>
  <c r="M161" i="79"/>
  <c r="F78" i="79"/>
  <c r="E68" i="79"/>
  <c r="H62" i="79"/>
  <c r="G156" i="79"/>
  <c r="N94" i="79"/>
  <c r="I83" i="76"/>
  <c r="M140" i="76"/>
  <c r="N148" i="76"/>
  <c r="N171" i="76"/>
  <c r="J141" i="79"/>
  <c r="I78" i="76"/>
  <c r="L167" i="76"/>
  <c r="M167" i="76"/>
  <c r="H155" i="76"/>
  <c r="E97" i="76"/>
  <c r="I98" i="76"/>
  <c r="L83" i="76"/>
  <c r="F61" i="76"/>
  <c r="F74" i="76"/>
  <c r="F156" i="76"/>
  <c r="N134" i="76"/>
  <c r="L158" i="79"/>
  <c r="E156" i="79"/>
  <c r="J158" i="76"/>
  <c r="G99" i="79"/>
  <c r="G142" i="76"/>
  <c r="E83" i="76"/>
  <c r="F67" i="76"/>
  <c r="J155" i="76"/>
  <c r="M83" i="76"/>
  <c r="H139" i="76"/>
  <c r="N86" i="76"/>
  <c r="H164" i="79"/>
  <c r="H134" i="79"/>
  <c r="M135" i="79"/>
  <c r="G83" i="79"/>
  <c r="G158" i="79"/>
  <c r="J83" i="79"/>
  <c r="K83" i="79"/>
  <c r="F135" i="79"/>
  <c r="L28" i="81"/>
  <c r="H94" i="76"/>
  <c r="I67" i="76"/>
  <c r="I142" i="76"/>
  <c r="H70" i="76"/>
  <c r="N143" i="76"/>
  <c r="E69" i="76"/>
  <c r="M139" i="76"/>
  <c r="E171" i="76"/>
  <c r="L94" i="76"/>
  <c r="F164" i="76"/>
  <c r="G89" i="76"/>
  <c r="I148" i="76"/>
  <c r="F72" i="76"/>
  <c r="J141" i="76"/>
  <c r="L172" i="76"/>
  <c r="M97" i="76"/>
  <c r="G167" i="76"/>
  <c r="J96" i="76"/>
  <c r="J171" i="76"/>
  <c r="E98" i="76"/>
  <c r="E166" i="76"/>
  <c r="H95" i="76"/>
  <c r="H170" i="76"/>
  <c r="I95" i="76"/>
  <c r="M164" i="76"/>
  <c r="H72" i="79"/>
  <c r="L141" i="79"/>
  <c r="N172" i="79"/>
  <c r="N73" i="79"/>
  <c r="N141" i="79"/>
  <c r="L171" i="79"/>
  <c r="I143" i="79"/>
  <c r="F67" i="79"/>
  <c r="N96" i="79"/>
  <c r="N164" i="79"/>
  <c r="I78" i="79"/>
  <c r="I146" i="79"/>
  <c r="F70" i="79"/>
  <c r="N99" i="79"/>
  <c r="N167" i="79"/>
  <c r="K91" i="79"/>
  <c r="I149" i="79"/>
  <c r="F73" i="79"/>
  <c r="H145" i="79"/>
  <c r="I70" i="79"/>
  <c r="M98" i="79"/>
  <c r="M166" i="79"/>
  <c r="H93" i="79"/>
  <c r="N143" i="79"/>
  <c r="N158" i="79"/>
  <c r="L86" i="79"/>
  <c r="J83" i="76"/>
  <c r="F62" i="76"/>
  <c r="H86" i="76"/>
  <c r="L165" i="79"/>
  <c r="I64" i="76"/>
  <c r="E158" i="76"/>
  <c r="E86" i="76"/>
  <c r="E70" i="76"/>
  <c r="M158" i="76"/>
  <c r="J133" i="76"/>
  <c r="N77" i="76"/>
  <c r="N63" i="79"/>
  <c r="E155" i="79"/>
  <c r="M69" i="79"/>
  <c r="H155" i="79"/>
  <c r="J93" i="79"/>
  <c r="K93" i="79"/>
  <c r="L155" i="79"/>
  <c r="M155" i="79"/>
  <c r="F28" i="81"/>
  <c r="J98" i="76"/>
  <c r="E73" i="76"/>
  <c r="K146" i="76"/>
  <c r="H77" i="76"/>
  <c r="J149" i="76"/>
  <c r="K74" i="76"/>
  <c r="E144" i="76"/>
  <c r="F69" i="76"/>
  <c r="N98" i="76"/>
  <c r="H168" i="76"/>
  <c r="I93" i="76"/>
  <c r="M162" i="76"/>
  <c r="H76" i="76"/>
  <c r="L145" i="76"/>
  <c r="M70" i="76"/>
  <c r="K141" i="76"/>
  <c r="M172" i="76"/>
  <c r="L141" i="76"/>
  <c r="E71" i="76"/>
  <c r="E139" i="76"/>
  <c r="G170" i="76"/>
  <c r="J99" i="76"/>
  <c r="I68" i="76"/>
  <c r="K99" i="76"/>
  <c r="E169" i="76"/>
  <c r="J76" i="79"/>
  <c r="N145" i="79"/>
  <c r="I147" i="79"/>
  <c r="L89" i="79"/>
  <c r="F146" i="79"/>
  <c r="M76" i="79"/>
  <c r="K147" i="79"/>
  <c r="H71" i="79"/>
  <c r="H139" i="79"/>
  <c r="F169" i="79"/>
  <c r="M92" i="79"/>
  <c r="K150" i="79"/>
  <c r="H74" i="79"/>
  <c r="H142" i="79"/>
  <c r="F172" i="79"/>
  <c r="M95" i="79"/>
  <c r="I162" i="79"/>
  <c r="L78" i="79"/>
  <c r="J149" i="79"/>
  <c r="K74" i="79"/>
  <c r="G141" i="79"/>
  <c r="E171" i="79"/>
  <c r="J97" i="79"/>
  <c r="F171" i="79"/>
  <c r="M94" i="79"/>
  <c r="M162" i="79"/>
  <c r="M99" i="76"/>
  <c r="I99" i="79"/>
  <c r="M158" i="79"/>
  <c r="L63" i="76"/>
  <c r="N64" i="76"/>
  <c r="K155" i="76"/>
  <c r="N69" i="76"/>
  <c r="L85" i="76"/>
  <c r="N144" i="76"/>
  <c r="J135" i="76"/>
  <c r="J86" i="76"/>
  <c r="F162" i="76"/>
  <c r="G149" i="76"/>
  <c r="J61" i="76"/>
  <c r="G134" i="79"/>
  <c r="M157" i="79"/>
  <c r="J84" i="79"/>
  <c r="K168" i="79"/>
  <c r="I83" i="79"/>
  <c r="N134" i="79"/>
  <c r="J158" i="79"/>
  <c r="F62" i="79"/>
  <c r="H28" i="81"/>
  <c r="F145" i="76"/>
  <c r="M75" i="76"/>
  <c r="I149" i="76"/>
  <c r="L91" i="76"/>
  <c r="F161" i="76"/>
  <c r="I77" i="76"/>
  <c r="M146" i="76"/>
  <c r="N71" i="76"/>
  <c r="N139" i="76"/>
  <c r="F171" i="76"/>
  <c r="G96" i="76"/>
  <c r="K165" i="76"/>
  <c r="H89" i="76"/>
  <c r="N149" i="76"/>
  <c r="E75" i="76"/>
  <c r="I144" i="76"/>
  <c r="J69" i="76"/>
  <c r="J144" i="76"/>
  <c r="M73" i="76"/>
  <c r="M141" i="76"/>
  <c r="H68" i="76"/>
  <c r="J140" i="76"/>
  <c r="G71" i="76"/>
  <c r="K140" i="76"/>
  <c r="M171" i="76"/>
  <c r="J89" i="79"/>
  <c r="F150" i="79"/>
  <c r="E166" i="79"/>
  <c r="J92" i="79"/>
  <c r="N148" i="79"/>
  <c r="K92" i="79"/>
  <c r="I150" i="79"/>
  <c r="F74" i="79"/>
  <c r="F142" i="79"/>
  <c r="N171" i="79"/>
  <c r="K95" i="79"/>
  <c r="K163" i="79"/>
  <c r="F77" i="79"/>
  <c r="F145" i="79"/>
  <c r="M68" i="79"/>
  <c r="K98" i="79"/>
  <c r="G165" i="79"/>
  <c r="L91" i="79"/>
  <c r="J162" i="79"/>
  <c r="I77" i="79"/>
  <c r="E144" i="79"/>
  <c r="L67" i="79"/>
  <c r="H141" i="79"/>
  <c r="M67" i="79"/>
  <c r="K97" i="79"/>
  <c r="K165" i="79"/>
  <c r="I135" i="79"/>
  <c r="F133" i="76"/>
  <c r="H134" i="76"/>
  <c r="J168" i="79"/>
  <c r="G62" i="79"/>
  <c r="K143" i="76"/>
  <c r="E165" i="76"/>
  <c r="F92" i="79"/>
  <c r="N83" i="79"/>
  <c r="M135" i="76"/>
  <c r="J143" i="76"/>
  <c r="M136" i="76"/>
  <c r="F86" i="76"/>
  <c r="N161" i="76"/>
  <c r="M147" i="76"/>
  <c r="G64" i="76"/>
  <c r="K85" i="76"/>
  <c r="I164" i="79"/>
  <c r="M85" i="79"/>
  <c r="J61" i="79"/>
  <c r="H83" i="79"/>
  <c r="G136" i="79"/>
  <c r="N61" i="79"/>
  <c r="L83" i="79"/>
  <c r="K86" i="79"/>
  <c r="F77" i="76"/>
  <c r="L163" i="76"/>
  <c r="G97" i="76"/>
  <c r="M170" i="76"/>
  <c r="L98" i="76"/>
  <c r="F168" i="76"/>
  <c r="K94" i="76"/>
  <c r="E164" i="76"/>
  <c r="N78" i="76"/>
  <c r="H148" i="76"/>
  <c r="I73" i="76"/>
  <c r="M142" i="76"/>
  <c r="E90" i="76"/>
  <c r="L97" i="76"/>
  <c r="F167" i="76"/>
  <c r="G92" i="76"/>
  <c r="K161" i="76"/>
  <c r="J89" i="76"/>
  <c r="F163" i="76"/>
  <c r="E91" i="76"/>
  <c r="M148" i="76"/>
  <c r="L76" i="76"/>
  <c r="H163" i="76"/>
  <c r="M89" i="76"/>
  <c r="E149" i="76"/>
  <c r="K161" i="79"/>
  <c r="N97" i="79"/>
  <c r="H167" i="79"/>
  <c r="H68" i="79"/>
  <c r="J99" i="79"/>
  <c r="F166" i="79"/>
  <c r="K99" i="79"/>
  <c r="K167" i="79"/>
  <c r="H91" i="79"/>
  <c r="F149" i="79"/>
  <c r="M72" i="79"/>
  <c r="M140" i="79"/>
  <c r="K170" i="79"/>
  <c r="H94" i="79"/>
  <c r="H162" i="79"/>
  <c r="M75" i="79"/>
  <c r="M143" i="79"/>
  <c r="G172" i="79"/>
  <c r="F100" i="79"/>
  <c r="H172" i="79"/>
  <c r="G93" i="79"/>
  <c r="G161" i="79"/>
  <c r="F76" i="79"/>
  <c r="L149" i="79"/>
  <c r="M74" i="79"/>
  <c r="M97" i="79"/>
  <c r="K68" i="76"/>
  <c r="E172" i="80"/>
  <c r="N133" i="79"/>
  <c r="F94" i="76"/>
  <c r="J100" i="79"/>
  <c r="N70" i="76"/>
  <c r="F63" i="76"/>
  <c r="F158" i="76"/>
  <c r="K135" i="76"/>
  <c r="N63" i="76"/>
  <c r="N158" i="76"/>
  <c r="F84" i="76"/>
  <c r="L77" i="79"/>
  <c r="K62" i="79"/>
  <c r="E133" i="79"/>
  <c r="H64" i="79"/>
  <c r="I155" i="79"/>
  <c r="J155" i="79"/>
  <c r="L64" i="79"/>
  <c r="E95" i="79"/>
  <c r="M133" i="79"/>
  <c r="J91" i="76"/>
  <c r="J166" i="76"/>
  <c r="K139" i="76"/>
  <c r="J67" i="76"/>
  <c r="L139" i="76"/>
  <c r="H172" i="76"/>
  <c r="I97" i="76"/>
  <c r="G168" i="76"/>
  <c r="N91" i="76"/>
  <c r="H161" i="76"/>
  <c r="G76" i="76"/>
  <c r="K145" i="76"/>
  <c r="H69" i="76"/>
  <c r="J100" i="76"/>
  <c r="N169" i="76"/>
  <c r="E95" i="76"/>
  <c r="I164" i="76"/>
  <c r="L93" i="76"/>
  <c r="H167" i="76"/>
  <c r="M93" i="76"/>
  <c r="G163" i="76"/>
  <c r="F91" i="76"/>
  <c r="F166" i="76"/>
  <c r="K92" i="76"/>
  <c r="E162" i="76"/>
  <c r="J69" i="79"/>
  <c r="L100" i="79"/>
  <c r="F170" i="79"/>
  <c r="D8" i="78"/>
  <c r="I50" i="85"/>
  <c r="I125" i="89"/>
  <c r="J50" i="89"/>
  <c r="W52" i="85"/>
  <c r="V133" i="77" a="1"/>
  <c r="X235" i="80" a="1"/>
  <c r="V232" i="81" a="1"/>
  <c r="V232" i="81" s="1"/>
  <c r="J34" i="93"/>
  <c r="E39" i="93" s="1" a="1"/>
  <c r="E39" i="93" s="1"/>
  <c r="E27" i="13" s="1" a="1"/>
  <c r="E27" i="13" s="1"/>
  <c r="I550" i="109"/>
  <c r="E555" i="109" s="1" a="1"/>
  <c r="E555" i="109" s="1"/>
  <c r="K145" i="79"/>
  <c r="I73" i="79"/>
  <c r="L142" i="79"/>
  <c r="I165" i="79"/>
  <c r="I90" i="79"/>
  <c r="F148" i="79"/>
  <c r="J67" i="79"/>
  <c r="E100" i="79"/>
  <c r="J166" i="79"/>
  <c r="J91" i="79"/>
  <c r="G149" i="79"/>
  <c r="G74" i="79"/>
  <c r="J143" i="79"/>
  <c r="M171" i="79"/>
  <c r="M96" i="79"/>
  <c r="L144" i="79"/>
  <c r="L69" i="79"/>
  <c r="H147" i="79"/>
  <c r="G147" i="79"/>
  <c r="G98" i="76"/>
  <c r="F146" i="76"/>
  <c r="I167" i="76"/>
  <c r="K76" i="76"/>
  <c r="F95" i="76"/>
  <c r="M145" i="76"/>
  <c r="J168" i="76"/>
  <c r="L77" i="76"/>
  <c r="I141" i="76"/>
  <c r="N166" i="76"/>
  <c r="F76" i="76"/>
  <c r="G141" i="76"/>
  <c r="N163" i="76"/>
  <c r="N68" i="76"/>
  <c r="G77" i="76"/>
  <c r="F90" i="76"/>
  <c r="G157" i="79"/>
  <c r="L172" i="79"/>
  <c r="H69" i="79"/>
  <c r="F133" i="79"/>
  <c r="L135" i="79"/>
  <c r="H64" i="76"/>
  <c r="J75" i="76"/>
  <c r="G133" i="76"/>
  <c r="L156" i="76"/>
  <c r="H84" i="76"/>
  <c r="N98" i="79"/>
  <c r="N84" i="76"/>
  <c r="G20" i="87"/>
  <c r="I20" i="87" s="1" a="1"/>
  <c r="I20" i="87" s="1"/>
  <c r="I22" i="87" a="1"/>
  <c r="I22" i="87" s="1"/>
  <c r="I21" i="87" a="1"/>
  <c r="I21" i="87" s="1"/>
  <c r="M136" i="79"/>
  <c r="L92" i="76"/>
  <c r="I51" i="86"/>
  <c r="L28" i="97" a="1"/>
  <c r="L28" i="97" s="1"/>
  <c r="O28" i="97" s="1" a="1"/>
  <c r="O28" i="97" s="1"/>
  <c r="I49" i="110"/>
  <c r="G144" i="79"/>
  <c r="E72" i="79"/>
  <c r="H100" i="79"/>
  <c r="E164" i="79"/>
  <c r="E89" i="79"/>
  <c r="L146" i="79"/>
  <c r="M170" i="79"/>
  <c r="G97" i="79"/>
  <c r="F165" i="79"/>
  <c r="F90" i="79"/>
  <c r="M147" i="79"/>
  <c r="I71" i="79"/>
  <c r="L140" i="79"/>
  <c r="I170" i="79"/>
  <c r="I95" i="79"/>
  <c r="H143" i="79"/>
  <c r="K171" i="79"/>
  <c r="J144" i="79"/>
  <c r="I171" i="79"/>
  <c r="M96" i="76"/>
  <c r="L144" i="76"/>
  <c r="K164" i="76"/>
  <c r="G75" i="76"/>
  <c r="H92" i="76"/>
  <c r="E143" i="76"/>
  <c r="L165" i="76"/>
  <c r="N74" i="76"/>
  <c r="E140" i="76"/>
  <c r="J165" i="76"/>
  <c r="L74" i="76"/>
  <c r="G100" i="76"/>
  <c r="J162" i="76"/>
  <c r="G172" i="76"/>
  <c r="I74" i="76"/>
  <c r="L75" i="76"/>
  <c r="M145" i="79"/>
  <c r="J148" i="79"/>
  <c r="E170" i="79"/>
  <c r="M90" i="79"/>
  <c r="K89" i="79"/>
  <c r="N62" i="76"/>
  <c r="J157" i="76"/>
  <c r="F85" i="76"/>
  <c r="E134" i="76"/>
  <c r="K61" i="76"/>
  <c r="D19" i="89"/>
  <c r="F19" i="89" s="1" a="1"/>
  <c r="F19" i="89" s="1"/>
  <c r="G19" i="89" s="1" a="1"/>
  <c r="G19" i="89" s="1"/>
  <c r="F34" i="89" a="1"/>
  <c r="F34" i="89" s="1"/>
  <c r="G34" i="89" s="1" a="1"/>
  <c r="G34" i="89" s="1"/>
  <c r="F27" i="89" a="1"/>
  <c r="F27" i="89" s="1"/>
  <c r="G27" i="89" s="1" a="1"/>
  <c r="G27" i="89" s="1"/>
  <c r="F20" i="89" a="1"/>
  <c r="F20" i="89" s="1"/>
  <c r="G20" i="89" s="1" a="1"/>
  <c r="G20" i="89" s="1"/>
  <c r="F37" i="89" a="1"/>
  <c r="F37" i="89" s="1"/>
  <c r="G37" i="89" s="1" a="1"/>
  <c r="G37" i="89" s="1"/>
  <c r="F30" i="89" a="1"/>
  <c r="F30" i="89" s="1"/>
  <c r="G30" i="89" s="1" a="1"/>
  <c r="G30" i="89" s="1"/>
  <c r="F23" i="89" a="1"/>
  <c r="F23" i="89" s="1"/>
  <c r="G23" i="89" s="1" a="1"/>
  <c r="G23" i="89" s="1"/>
  <c r="F29" i="89" a="1"/>
  <c r="F29" i="89" s="1"/>
  <c r="G29" i="89" s="1" a="1"/>
  <c r="G29" i="89" s="1"/>
  <c r="F28" i="89" a="1"/>
  <c r="F28" i="89" s="1"/>
  <c r="G28" i="89" s="1" a="1"/>
  <c r="G28" i="89" s="1"/>
  <c r="F26" i="89" a="1"/>
  <c r="F26" i="89" s="1"/>
  <c r="G26" i="89" s="1" a="1"/>
  <c r="G26" i="89" s="1"/>
  <c r="F25" i="89" a="1"/>
  <c r="F25" i="89" s="1"/>
  <c r="G25" i="89" s="1" a="1"/>
  <c r="G25" i="89" s="1"/>
  <c r="F36" i="89" a="1"/>
  <c r="F36" i="89" s="1"/>
  <c r="G36" i="89" s="1" a="1"/>
  <c r="G36" i="89" s="1"/>
  <c r="F24" i="89" a="1"/>
  <c r="F24" i="89" s="1"/>
  <c r="G24" i="89" s="1" a="1"/>
  <c r="G24" i="89" s="1"/>
  <c r="F35" i="89" a="1"/>
  <c r="F35" i="89" s="1"/>
  <c r="G35" i="89" s="1" a="1"/>
  <c r="G35" i="89" s="1"/>
  <c r="F22" i="89" a="1"/>
  <c r="F22" i="89" s="1"/>
  <c r="G22" i="89" s="1" a="1"/>
  <c r="G22" i="89" s="1"/>
  <c r="F33" i="89" a="1"/>
  <c r="F33" i="89" s="1"/>
  <c r="G33" i="89" s="1" a="1"/>
  <c r="G33" i="89" s="1"/>
  <c r="F21" i="89" a="1"/>
  <c r="F21" i="89" s="1"/>
  <c r="G21" i="89" s="1" a="1"/>
  <c r="G21" i="89" s="1"/>
  <c r="F32" i="89" a="1"/>
  <c r="F32" i="89" s="1"/>
  <c r="G32" i="89" s="1" a="1"/>
  <c r="G32" i="89" s="1"/>
  <c r="F31" i="89" a="1"/>
  <c r="F31" i="89" s="1"/>
  <c r="G31" i="89" s="1" a="1"/>
  <c r="G31" i="89" s="1"/>
  <c r="L147" i="76"/>
  <c r="I134" i="76"/>
  <c r="D19" i="86"/>
  <c r="F19" i="86" s="1" a="1"/>
  <c r="F19" i="86" s="1"/>
  <c r="F34" i="86" a="1"/>
  <c r="F34" i="86" s="1"/>
  <c r="F27" i="86" a="1"/>
  <c r="F27" i="86" s="1"/>
  <c r="F20" i="86" a="1"/>
  <c r="F20" i="86" s="1"/>
  <c r="F33" i="86" a="1"/>
  <c r="F33" i="86" s="1"/>
  <c r="F26" i="86" a="1"/>
  <c r="F26" i="86" s="1"/>
  <c r="F32" i="86" a="1"/>
  <c r="F32" i="86" s="1"/>
  <c r="F25" i="86" a="1"/>
  <c r="F25" i="86" s="1"/>
  <c r="F31" i="86" a="1"/>
  <c r="F31" i="86" s="1"/>
  <c r="F24" i="86" a="1"/>
  <c r="F24" i="86" s="1"/>
  <c r="F36" i="86" a="1"/>
  <c r="F36" i="86" s="1"/>
  <c r="F23" i="86" a="1"/>
  <c r="F23" i="86" s="1"/>
  <c r="F35" i="86" a="1"/>
  <c r="F35" i="86" s="1"/>
  <c r="F22" i="86" a="1"/>
  <c r="F22" i="86" s="1"/>
  <c r="F21" i="86" a="1"/>
  <c r="F21" i="86" s="1"/>
  <c r="F30" i="86" a="1"/>
  <c r="F30" i="86" s="1"/>
  <c r="F29" i="86" a="1"/>
  <c r="F29" i="86" s="1"/>
  <c r="F28" i="86" a="1"/>
  <c r="F28" i="86" s="1"/>
  <c r="F37" i="86" a="1"/>
  <c r="F37" i="86" s="1"/>
  <c r="V22" i="84"/>
  <c r="I22" i="84"/>
  <c r="AK221" i="109"/>
  <c r="AM227" i="109" a="1"/>
  <c r="AM227" i="109" s="1"/>
  <c r="AM222" i="109" a="1"/>
  <c r="AM222" i="109" s="1"/>
  <c r="AM226" i="109" a="1"/>
  <c r="AM226" i="109" s="1"/>
  <c r="AM230" i="109" a="1"/>
  <c r="AM230" i="109" s="1"/>
  <c r="V18" i="84"/>
  <c r="I18" i="84"/>
  <c r="K26" i="97"/>
  <c r="Q26" i="97" s="1" a="1"/>
  <c r="Q26" i="97" s="1"/>
  <c r="J26" i="97"/>
  <c r="I26" i="97"/>
  <c r="H26" i="97"/>
  <c r="N26" i="97" s="1" a="1"/>
  <c r="N26" i="97" s="1"/>
  <c r="G26" i="97"/>
  <c r="P26" i="97" s="1" a="1"/>
  <c r="P26" i="97" s="1"/>
  <c r="V21" i="84"/>
  <c r="I21" i="84"/>
  <c r="O221" i="109" a="1"/>
  <c r="O221" i="109" s="1"/>
  <c r="R221" i="109" a="1"/>
  <c r="R221" i="109" s="1"/>
  <c r="AC221" i="109"/>
  <c r="AE221" i="109" s="1" a="1"/>
  <c r="AE221" i="109" s="1"/>
  <c r="AE225" i="109" a="1"/>
  <c r="AE225" i="109" s="1"/>
  <c r="AE226" i="109" a="1"/>
  <c r="AE226" i="109" s="1"/>
  <c r="AE229" i="109" a="1"/>
  <c r="AE229" i="109" s="1"/>
  <c r="AE227" i="109" a="1"/>
  <c r="AE227" i="109" s="1"/>
  <c r="AE237" i="109" a="1"/>
  <c r="AE237" i="109" s="1"/>
  <c r="AD221" i="109" a="1"/>
  <c r="AD221" i="109" s="1"/>
  <c r="D59" i="100"/>
  <c r="G59" i="100" s="1" a="1"/>
  <c r="G59" i="100" s="1"/>
  <c r="G89" i="100" a="1"/>
  <c r="G89" i="100" s="1"/>
  <c r="I89" i="100" s="1" a="1"/>
  <c r="I89" i="100" s="1"/>
  <c r="H187" i="100" s="1"/>
  <c r="G80" i="100" a="1"/>
  <c r="G80" i="100" s="1"/>
  <c r="I80" i="100" s="1" a="1"/>
  <c r="I80" i="100" s="1"/>
  <c r="H178" i="100" s="1"/>
  <c r="G88" i="100" a="1"/>
  <c r="G88" i="100" s="1"/>
  <c r="I88" i="100" s="1" a="1"/>
  <c r="I88" i="100" s="1"/>
  <c r="H186" i="100" s="1"/>
  <c r="G79" i="100" a="1"/>
  <c r="G79" i="100" s="1"/>
  <c r="I79" i="100" s="1" a="1"/>
  <c r="I79" i="100" s="1"/>
  <c r="H177" i="100" s="1"/>
  <c r="I177" i="100" s="1"/>
  <c r="K177" i="100" s="1" a="1"/>
  <c r="K177" i="100" s="1"/>
  <c r="G72" i="100" a="1"/>
  <c r="G72" i="100" s="1"/>
  <c r="I72" i="100" s="1" a="1"/>
  <c r="I72" i="100" s="1"/>
  <c r="H170" i="100" s="1"/>
  <c r="G64" i="100" a="1"/>
  <c r="G64" i="100" s="1"/>
  <c r="I64" i="100" s="1" a="1"/>
  <c r="I64" i="100" s="1"/>
  <c r="H162" i="100" s="1"/>
  <c r="I162" i="100" s="1"/>
  <c r="K162" i="100" s="1" a="1"/>
  <c r="K162" i="100" s="1"/>
  <c r="G86" i="100" a="1"/>
  <c r="G86" i="100" s="1"/>
  <c r="I86" i="100" s="1" a="1"/>
  <c r="I86" i="100" s="1"/>
  <c r="H184" i="100" s="1"/>
  <c r="G78" i="100" a="1"/>
  <c r="G78" i="100" s="1"/>
  <c r="G71" i="100" a="1"/>
  <c r="G71" i="100" s="1"/>
  <c r="G63" i="100" a="1"/>
  <c r="G63" i="100" s="1"/>
  <c r="I63" i="100" s="1" a="1"/>
  <c r="I63" i="100" s="1"/>
  <c r="H161" i="100" s="1"/>
  <c r="I161" i="100" s="1"/>
  <c r="K161" i="100" s="1" a="1"/>
  <c r="K161" i="100" s="1"/>
  <c r="G85" i="100" a="1"/>
  <c r="G85" i="100" s="1"/>
  <c r="I85" i="100" s="1" a="1"/>
  <c r="I85" i="100" s="1"/>
  <c r="H183" i="100" s="1"/>
  <c r="G77" i="100" a="1"/>
  <c r="G77" i="100" s="1"/>
  <c r="I77" i="100" s="1" a="1"/>
  <c r="I77" i="100" s="1"/>
  <c r="H175" i="100" s="1"/>
  <c r="G69" i="100" a="1"/>
  <c r="G69" i="100" s="1"/>
  <c r="I69" i="100" s="1" a="1"/>
  <c r="I69" i="100" s="1"/>
  <c r="H167" i="100" s="1"/>
  <c r="I167" i="100" s="1"/>
  <c r="K167" i="100" s="1" a="1"/>
  <c r="K167" i="100" s="1"/>
  <c r="G62" i="100" a="1"/>
  <c r="G62" i="100" s="1"/>
  <c r="I62" i="100" s="1" a="1"/>
  <c r="I62" i="100" s="1"/>
  <c r="H160" i="100" s="1"/>
  <c r="G92" i="100" a="1"/>
  <c r="G92" i="100" s="1"/>
  <c r="G84" i="100" a="1"/>
  <c r="G84" i="100" s="1"/>
  <c r="G76" i="100" a="1"/>
  <c r="G76" i="100" s="1"/>
  <c r="I76" i="100" s="1" a="1"/>
  <c r="I76" i="100" s="1"/>
  <c r="H174" i="100" s="1"/>
  <c r="I174" i="100" s="1"/>
  <c r="K174" i="100" s="1" a="1"/>
  <c r="K174" i="100" s="1"/>
  <c r="G68" i="100" a="1"/>
  <c r="G68" i="100" s="1"/>
  <c r="G61" i="100" a="1"/>
  <c r="G61" i="100" s="1"/>
  <c r="G91" i="100" a="1"/>
  <c r="G91" i="100" s="1"/>
  <c r="I91" i="100" s="1" a="1"/>
  <c r="I91" i="100" s="1"/>
  <c r="H189" i="100" s="1"/>
  <c r="G83" i="100" a="1"/>
  <c r="G83" i="100" s="1"/>
  <c r="I83" i="100" s="1" a="1"/>
  <c r="I83" i="100" s="1"/>
  <c r="H181" i="100" s="1"/>
  <c r="G75" i="100" a="1"/>
  <c r="G75" i="100" s="1"/>
  <c r="I75" i="100" s="1" a="1"/>
  <c r="I75" i="100" s="1"/>
  <c r="H173" i="100" s="1"/>
  <c r="G67" i="100" a="1"/>
  <c r="G67" i="100" s="1"/>
  <c r="I67" i="100" s="1" a="1"/>
  <c r="I67" i="100" s="1"/>
  <c r="H165" i="100" s="1"/>
  <c r="G60" i="100" a="1"/>
  <c r="G60" i="100" s="1"/>
  <c r="I60" i="100" s="1" a="1"/>
  <c r="I60" i="100" s="1"/>
  <c r="H158" i="100" s="1"/>
  <c r="G90" i="100" a="1"/>
  <c r="G90" i="100" s="1"/>
  <c r="I90" i="100" s="1" a="1"/>
  <c r="I90" i="100" s="1"/>
  <c r="H188" i="100" s="1"/>
  <c r="G66" i="100" a="1"/>
  <c r="G66" i="100" s="1"/>
  <c r="G65" i="100" a="1"/>
  <c r="G65" i="100" s="1"/>
  <c r="I65" i="100" s="1" a="1"/>
  <c r="I65" i="100" s="1"/>
  <c r="H163" i="100" s="1"/>
  <c r="G82" i="100" a="1"/>
  <c r="G82" i="100" s="1"/>
  <c r="I82" i="100" s="1" a="1"/>
  <c r="I82" i="100" s="1"/>
  <c r="H180" i="100" s="1"/>
  <c r="G74" i="100" a="1"/>
  <c r="G74" i="100" s="1"/>
  <c r="G73" i="100" a="1"/>
  <c r="G73" i="100" s="1"/>
  <c r="I73" i="100" s="1" a="1"/>
  <c r="I73" i="100" s="1"/>
  <c r="H171" i="100" s="1"/>
  <c r="D270" i="109"/>
  <c r="E277" i="109"/>
  <c r="I277" i="109" s="1" a="1"/>
  <c r="I277" i="109" s="1"/>
  <c r="F276" i="109" a="1"/>
  <c r="F276" i="109" s="1"/>
  <c r="F275" i="109" a="1"/>
  <c r="F275" i="109" s="1"/>
  <c r="F281" i="109" a="1"/>
  <c r="F281" i="109" s="1"/>
  <c r="F274" i="109" a="1"/>
  <c r="F274" i="109" s="1"/>
  <c r="F280" i="109" a="1"/>
  <c r="F280" i="109" s="1"/>
  <c r="F273" i="109" a="1"/>
  <c r="F273" i="109" s="1"/>
  <c r="I273" i="109" s="1" a="1"/>
  <c r="I273" i="109" s="1"/>
  <c r="E280" i="109"/>
  <c r="E273" i="109"/>
  <c r="F279" i="109" a="1"/>
  <c r="F279" i="109" s="1"/>
  <c r="G279" i="109" s="1" a="1"/>
  <c r="G279" i="109" s="1"/>
  <c r="F272" i="109" a="1"/>
  <c r="F272" i="109" s="1"/>
  <c r="E279" i="109"/>
  <c r="F278" i="109" a="1"/>
  <c r="F278" i="109" s="1"/>
  <c r="E278" i="109"/>
  <c r="F277" i="109" a="1"/>
  <c r="F277" i="109" s="1"/>
  <c r="E276" i="109"/>
  <c r="E275" i="109"/>
  <c r="I275" i="109" s="1" a="1"/>
  <c r="I275" i="109" s="1"/>
  <c r="E274" i="109"/>
  <c r="E272" i="109"/>
  <c r="F271" i="109" a="1"/>
  <c r="F271" i="109" s="1"/>
  <c r="E271" i="109"/>
  <c r="G271" i="109" s="1" a="1"/>
  <c r="G271" i="109" s="1"/>
  <c r="E281" i="109"/>
  <c r="G281" i="109" s="1" a="1"/>
  <c r="G281" i="109" s="1"/>
  <c r="K33" i="96" a="1"/>
  <c r="K33" i="96" s="1"/>
  <c r="G33" i="96" a="1"/>
  <c r="G33" i="96" s="1"/>
  <c r="Q33" i="96" s="1" a="1"/>
  <c r="Q33" i="96" s="1"/>
  <c r="E52" i="96" s="1"/>
  <c r="AG221" i="109" a="1"/>
  <c r="U221" i="109" a="1"/>
  <c r="O50" i="85"/>
  <c r="Q51" i="85"/>
  <c r="S52" i="85" a="1"/>
  <c r="S52" i="85" s="1"/>
  <c r="S51" i="85" a="1"/>
  <c r="S51" i="85" s="1"/>
  <c r="T51" i="85"/>
  <c r="E21" i="100"/>
  <c r="H21" i="100" s="1" a="1"/>
  <c r="H21" i="100" s="1"/>
  <c r="H54" i="100" a="1"/>
  <c r="H54" i="100" s="1"/>
  <c r="H46" i="100" a="1"/>
  <c r="H46" i="100" s="1"/>
  <c r="H38" i="100" a="1"/>
  <c r="H38" i="100" s="1"/>
  <c r="H30" i="100" a="1"/>
  <c r="H30" i="100" s="1"/>
  <c r="H23" i="100" a="1"/>
  <c r="H23" i="100" s="1"/>
  <c r="H50" i="100" a="1"/>
  <c r="H50" i="100" s="1"/>
  <c r="H41" i="100" a="1"/>
  <c r="H41" i="100" s="1"/>
  <c r="H34" i="100" a="1"/>
  <c r="H34" i="100" s="1"/>
  <c r="H26" i="100" a="1"/>
  <c r="H26" i="100" s="1"/>
  <c r="H48" i="100" a="1"/>
  <c r="H48" i="100" s="1"/>
  <c r="I48" i="100" s="1" a="1"/>
  <c r="I48" i="100" s="1"/>
  <c r="H143" i="100" s="1"/>
  <c r="H40" i="100" a="1"/>
  <c r="H40" i="100" s="1"/>
  <c r="H33" i="100" a="1"/>
  <c r="H33" i="100" s="1"/>
  <c r="H25" i="100" a="1"/>
  <c r="H25" i="100" s="1"/>
  <c r="H47" i="100" a="1"/>
  <c r="H47" i="100" s="1"/>
  <c r="H29" i="100" a="1"/>
  <c r="H29" i="100" s="1"/>
  <c r="H28" i="100" a="1"/>
  <c r="H28" i="100" s="1"/>
  <c r="H45" i="100" a="1"/>
  <c r="H45" i="100" s="1"/>
  <c r="H27" i="100" a="1"/>
  <c r="H27" i="100" s="1"/>
  <c r="H44" i="100" a="1"/>
  <c r="H44" i="100" s="1"/>
  <c r="H42" i="100" a="1"/>
  <c r="H42" i="100" s="1"/>
  <c r="H24" i="100" a="1"/>
  <c r="H24" i="100" s="1"/>
  <c r="H39" i="100" a="1"/>
  <c r="H39" i="100" s="1"/>
  <c r="H22" i="100" a="1"/>
  <c r="H22" i="100" s="1"/>
  <c r="H37" i="100" a="1"/>
  <c r="H37" i="100" s="1"/>
  <c r="H36" i="100" a="1"/>
  <c r="H36" i="100" s="1"/>
  <c r="H53" i="100" a="1"/>
  <c r="H53" i="100" s="1"/>
  <c r="H35" i="100" a="1"/>
  <c r="H35" i="100" s="1"/>
  <c r="H52" i="100" a="1"/>
  <c r="H52" i="100" s="1"/>
  <c r="H51" i="100" a="1"/>
  <c r="H51" i="100" s="1"/>
  <c r="H31" i="100" a="1"/>
  <c r="H31" i="100" s="1"/>
  <c r="G37" i="96" a="1"/>
  <c r="G37" i="96" s="1"/>
  <c r="J134" i="100" a="1"/>
  <c r="J134" i="100" s="1"/>
  <c r="W237" i="109" a="1"/>
  <c r="W237" i="109" s="1"/>
  <c r="J118" i="100" a="1"/>
  <c r="J118" i="100" s="1"/>
  <c r="J25" i="97"/>
  <c r="H25" i="97"/>
  <c r="G25" i="97"/>
  <c r="K25" i="97"/>
  <c r="Q25" i="97" s="1" a="1"/>
  <c r="Q25" i="97" s="1"/>
  <c r="I25" i="97"/>
  <c r="AL221" i="109" a="1"/>
  <c r="AL221" i="109" s="1"/>
  <c r="J168" i="100" a="1"/>
  <c r="J168" i="100" s="1"/>
  <c r="G29" i="97"/>
  <c r="O29" i="97" s="1" a="1"/>
  <c r="O29" i="97" s="1"/>
  <c r="K29" i="97"/>
  <c r="J29" i="97"/>
  <c r="I29" i="97"/>
  <c r="H29" i="97"/>
  <c r="J127" i="100" a="1"/>
  <c r="J127" i="100" s="1"/>
  <c r="J164" i="100" a="1"/>
  <c r="J164" i="100" s="1"/>
  <c r="J167" i="100" a="1"/>
  <c r="J167" i="100" s="1"/>
  <c r="J34" i="97"/>
  <c r="I34" i="97"/>
  <c r="O34" i="97" s="1" a="1"/>
  <c r="O34" i="97" s="1"/>
  <c r="H34" i="97"/>
  <c r="K34" i="97"/>
  <c r="Q34" i="97" s="1" a="1"/>
  <c r="Q34" i="97" s="1"/>
  <c r="G34" i="97"/>
  <c r="I25" i="96" a="1"/>
  <c r="I25" i="96" s="1"/>
  <c r="O25" i="96" s="1" a="1"/>
  <c r="O25" i="96" s="1"/>
  <c r="K33" i="97"/>
  <c r="Q33" i="97" s="1" a="1"/>
  <c r="Q33" i="97" s="1"/>
  <c r="I33" i="97"/>
  <c r="G33" i="97"/>
  <c r="J33" i="97"/>
  <c r="H33" i="97"/>
  <c r="AB119" i="109" a="1"/>
  <c r="AB119" i="109" s="1"/>
  <c r="V221" i="109" a="1"/>
  <c r="V221" i="109" s="1"/>
  <c r="V20" i="84"/>
  <c r="I20" i="84"/>
  <c r="V19" i="84"/>
  <c r="J179" i="100" a="1"/>
  <c r="J179" i="100" s="1"/>
  <c r="J165" i="100" a="1"/>
  <c r="J165" i="100" s="1"/>
  <c r="K28" i="97"/>
  <c r="I28" i="97"/>
  <c r="H28" i="97"/>
  <c r="J28" i="97"/>
  <c r="G28" i="97"/>
  <c r="AB124" i="109" a="1"/>
  <c r="AB124" i="109" s="1"/>
  <c r="J120" i="100" a="1"/>
  <c r="J120" i="100" s="1"/>
  <c r="J185" i="100" a="1"/>
  <c r="J185" i="100" s="1"/>
  <c r="J123" i="100" a="1"/>
  <c r="J123" i="100" s="1"/>
  <c r="K37" i="97"/>
  <c r="J37" i="97"/>
  <c r="I37" i="97"/>
  <c r="H37" i="97"/>
  <c r="G37" i="97"/>
  <c r="F108" i="89" a="1"/>
  <c r="F108" i="89" s="1"/>
  <c r="E140" i="89" s="1"/>
  <c r="I37" i="96" a="1"/>
  <c r="I37" i="96" s="1"/>
  <c r="J161" i="100" a="1"/>
  <c r="J161" i="100" s="1"/>
  <c r="J133" i="100" a="1"/>
  <c r="J133" i="100" s="1"/>
  <c r="J122" i="100" a="1"/>
  <c r="J122" i="100" s="1"/>
  <c r="AH221" i="109" a="1"/>
  <c r="AH221" i="109" s="1"/>
  <c r="P221" i="109" a="1"/>
  <c r="P221" i="109" s="1"/>
  <c r="D21" i="100"/>
  <c r="G189" i="100" a="1"/>
  <c r="G189" i="100" s="1"/>
  <c r="G177" i="100" a="1"/>
  <c r="G177" i="100" s="1"/>
  <c r="G145" i="100" a="1"/>
  <c r="G145" i="100" s="1"/>
  <c r="G125" i="100" a="1"/>
  <c r="G125" i="100" s="1"/>
  <c r="G118" i="100" a="1"/>
  <c r="G118" i="100" s="1"/>
  <c r="G188" i="100" a="1"/>
  <c r="G188" i="100" s="1"/>
  <c r="G167" i="100" a="1"/>
  <c r="G167" i="100" s="1"/>
  <c r="G160" i="100" a="1"/>
  <c r="G160" i="100" s="1"/>
  <c r="I160" i="100" s="1"/>
  <c r="K160" i="100" s="1" a="1"/>
  <c r="K160" i="100" s="1"/>
  <c r="G134" i="100" a="1"/>
  <c r="G134" i="100" s="1"/>
  <c r="G187" i="100" a="1"/>
  <c r="G187" i="100" s="1"/>
  <c r="G176" i="100" a="1"/>
  <c r="G176" i="100" s="1"/>
  <c r="G143" i="100" a="1"/>
  <c r="G143" i="100" s="1"/>
  <c r="G124" i="100" a="1"/>
  <c r="G124" i="100" s="1"/>
  <c r="G117" i="100" a="1"/>
  <c r="G117" i="100" s="1"/>
  <c r="G54" i="100" a="1"/>
  <c r="G54" i="100" s="1"/>
  <c r="G46" i="100" a="1"/>
  <c r="G46" i="100" s="1"/>
  <c r="I46" i="100" s="1" a="1"/>
  <c r="I46" i="100" s="1"/>
  <c r="H141" i="100" s="1"/>
  <c r="G38" i="100" a="1"/>
  <c r="G38" i="100" s="1"/>
  <c r="G30" i="100" a="1"/>
  <c r="G30" i="100" s="1"/>
  <c r="I30" i="100" s="1" a="1"/>
  <c r="I30" i="100" s="1"/>
  <c r="H125" i="100" s="1"/>
  <c r="G23" i="100" a="1"/>
  <c r="G23" i="100" s="1"/>
  <c r="I23" i="100" s="1" a="1"/>
  <c r="I23" i="100" s="1"/>
  <c r="H118" i="100" s="1"/>
  <c r="I118" i="100" s="1"/>
  <c r="K118" i="100" s="1" a="1"/>
  <c r="K118" i="100" s="1"/>
  <c r="G186" i="100" a="1"/>
  <c r="G186" i="100" s="1"/>
  <c r="G175" i="100" a="1"/>
  <c r="G175" i="100" s="1"/>
  <c r="G141" i="100" a="1"/>
  <c r="G141" i="100" s="1"/>
  <c r="G123" i="100" a="1"/>
  <c r="G123" i="100" s="1"/>
  <c r="G53" i="100" a="1"/>
  <c r="G53" i="100" s="1"/>
  <c r="G45" i="100" a="1"/>
  <c r="G45" i="100" s="1"/>
  <c r="G37" i="100" a="1"/>
  <c r="G37" i="100" s="1"/>
  <c r="G29" i="100" a="1"/>
  <c r="G29" i="100" s="1"/>
  <c r="G22" i="100" a="1"/>
  <c r="G22" i="100" s="1"/>
  <c r="G184" i="100" a="1"/>
  <c r="G184" i="100" s="1"/>
  <c r="G183" i="100" a="1"/>
  <c r="G183" i="100" s="1"/>
  <c r="G174" i="100" a="1"/>
  <c r="G174" i="100" s="1"/>
  <c r="G139" i="100" a="1"/>
  <c r="G139" i="100" s="1"/>
  <c r="G131" i="100" a="1"/>
  <c r="G131" i="100" s="1"/>
  <c r="G122" i="100" a="1"/>
  <c r="G122" i="100" s="1"/>
  <c r="G52" i="100" a="1"/>
  <c r="G52" i="100" s="1"/>
  <c r="G44" i="100" a="1"/>
  <c r="G44" i="100" s="1"/>
  <c r="I44" i="100" s="1" a="1"/>
  <c r="I44" i="100" s="1"/>
  <c r="H139" i="100" s="1"/>
  <c r="G36" i="100" a="1"/>
  <c r="G36" i="100" s="1"/>
  <c r="G28" i="100" a="1"/>
  <c r="G28" i="100" s="1"/>
  <c r="G182" i="100" a="1"/>
  <c r="G182" i="100" s="1"/>
  <c r="G164" i="100" a="1"/>
  <c r="G164" i="100" s="1"/>
  <c r="G130" i="100" a="1"/>
  <c r="G130" i="100" s="1"/>
  <c r="G181" i="100" a="1"/>
  <c r="G181" i="100" s="1"/>
  <c r="G173" i="100" a="1"/>
  <c r="G173" i="100" s="1"/>
  <c r="G129" i="100" a="1"/>
  <c r="G129" i="100" s="1"/>
  <c r="G121" i="100" a="1"/>
  <c r="G121" i="100" s="1"/>
  <c r="G51" i="100" a="1"/>
  <c r="G51" i="100" s="1"/>
  <c r="I51" i="100" s="1" a="1"/>
  <c r="I51" i="100" s="1"/>
  <c r="H146" i="100" s="1"/>
  <c r="G42" i="100" a="1"/>
  <c r="G42" i="100" s="1"/>
  <c r="I42" i="100" s="1" a="1"/>
  <c r="I42" i="100" s="1"/>
  <c r="H137" i="100" s="1"/>
  <c r="I137" i="100" s="1"/>
  <c r="K137" i="100" s="1" a="1"/>
  <c r="K137" i="100" s="1"/>
  <c r="G35" i="100" a="1"/>
  <c r="G35" i="100" s="1"/>
  <c r="I35" i="100" s="1" a="1"/>
  <c r="I35" i="100" s="1"/>
  <c r="H130" i="100" s="1"/>
  <c r="G27" i="100" a="1"/>
  <c r="G27" i="100" s="1"/>
  <c r="G180" i="100" a="1"/>
  <c r="G180" i="100" s="1"/>
  <c r="G172" i="100" a="1"/>
  <c r="G172" i="100" s="1"/>
  <c r="G163" i="100" a="1"/>
  <c r="G163" i="100" s="1"/>
  <c r="I163" i="100" s="1"/>
  <c r="K163" i="100" s="1" a="1"/>
  <c r="K163" i="100" s="1"/>
  <c r="G137" i="100" a="1"/>
  <c r="G137" i="100" s="1"/>
  <c r="G128" i="100" a="1"/>
  <c r="G128" i="100" s="1"/>
  <c r="G171" i="100" a="1"/>
  <c r="G171" i="100" s="1"/>
  <c r="G149" i="100" a="1"/>
  <c r="G149" i="100" s="1"/>
  <c r="G120" i="100" a="1"/>
  <c r="G120" i="100" s="1"/>
  <c r="G50" i="100" a="1"/>
  <c r="G50" i="100" s="1"/>
  <c r="I50" i="100" s="1" a="1"/>
  <c r="I50" i="100" s="1"/>
  <c r="H145" i="100" s="1"/>
  <c r="G41" i="100" a="1"/>
  <c r="G41" i="100" s="1"/>
  <c r="G34" i="100" a="1"/>
  <c r="G34" i="100" s="1"/>
  <c r="I34" i="100" s="1" a="1"/>
  <c r="I34" i="100" s="1"/>
  <c r="H129" i="100" s="1"/>
  <c r="G26" i="100" a="1"/>
  <c r="G26" i="100" s="1"/>
  <c r="G170" i="100" a="1"/>
  <c r="G170" i="100" s="1"/>
  <c r="G162" i="100" a="1"/>
  <c r="G162" i="100" s="1"/>
  <c r="G148" i="100" a="1"/>
  <c r="G148" i="100" s="1"/>
  <c r="G136" i="100" a="1"/>
  <c r="G136" i="100" s="1"/>
  <c r="G140" i="100" a="1"/>
  <c r="G140" i="100" s="1"/>
  <c r="G48" i="100" a="1"/>
  <c r="G48" i="100" s="1"/>
  <c r="G31" i="100" a="1"/>
  <c r="G31" i="100" s="1"/>
  <c r="I31" i="100" s="1" a="1"/>
  <c r="I31" i="100" s="1"/>
  <c r="H126" i="100" s="1"/>
  <c r="G135" i="100" a="1"/>
  <c r="G135" i="100" s="1"/>
  <c r="G47" i="100" a="1"/>
  <c r="G47" i="100" s="1"/>
  <c r="G169" i="100" a="1"/>
  <c r="G169" i="100" s="1"/>
  <c r="G133" i="100" a="1"/>
  <c r="G133" i="100" s="1"/>
  <c r="G132" i="100" a="1"/>
  <c r="G132" i="100" s="1"/>
  <c r="G25" i="100" a="1"/>
  <c r="G25" i="100" s="1"/>
  <c r="G166" i="100" a="1"/>
  <c r="G166" i="100" s="1"/>
  <c r="G126" i="100" a="1"/>
  <c r="G126" i="100" s="1"/>
  <c r="G165" i="100" a="1"/>
  <c r="G165" i="100" s="1"/>
  <c r="G40" i="100" a="1"/>
  <c r="G40" i="100" s="1"/>
  <c r="G24" i="100" a="1"/>
  <c r="G24" i="100" s="1"/>
  <c r="G161" i="100" a="1"/>
  <c r="G161" i="100" s="1"/>
  <c r="G39" i="100" a="1"/>
  <c r="G39" i="100" s="1"/>
  <c r="G159" i="100" a="1"/>
  <c r="G159" i="100" s="1"/>
  <c r="G119" i="100" a="1"/>
  <c r="G119" i="100" s="1"/>
  <c r="G158" i="100" a="1"/>
  <c r="G158" i="100" s="1"/>
  <c r="G147" i="100" a="1"/>
  <c r="G147" i="100" s="1"/>
  <c r="G190" i="100" a="1"/>
  <c r="G190" i="100" s="1"/>
  <c r="G146" i="100" a="1"/>
  <c r="G146" i="100" s="1"/>
  <c r="G33" i="100" a="1"/>
  <c r="G33" i="100" s="1"/>
  <c r="I33" i="100" s="1" a="1"/>
  <c r="I33" i="100" s="1"/>
  <c r="H128" i="100" s="1"/>
  <c r="G178" i="100" a="1"/>
  <c r="G178" i="100" s="1"/>
  <c r="I178" i="100" s="1"/>
  <c r="K178" i="100" s="1" a="1"/>
  <c r="K178" i="100" s="1"/>
  <c r="G142" i="100" a="1"/>
  <c r="G142" i="100" s="1"/>
  <c r="J159" i="100" a="1"/>
  <c r="J159" i="100" s="1"/>
  <c r="X127" i="109" a="1"/>
  <c r="X127" i="109" s="1"/>
  <c r="F127" i="109" s="1"/>
  <c r="G127" i="109" s="1" a="1"/>
  <c r="G127" i="109" s="1"/>
  <c r="X120" i="109" a="1"/>
  <c r="X120" i="109" s="1"/>
  <c r="F120" i="109" s="1"/>
  <c r="G120" i="109" s="1" a="1"/>
  <c r="G120" i="109" s="1"/>
  <c r="X123" i="109" a="1"/>
  <c r="X123" i="109" s="1"/>
  <c r="X122" i="109" a="1"/>
  <c r="X122" i="109" s="1"/>
  <c r="T128" i="109" a="1"/>
  <c r="T128" i="109" s="1"/>
  <c r="T121" i="109" a="1"/>
  <c r="T121" i="109" s="1"/>
  <c r="F121" i="109" s="1"/>
  <c r="G121" i="109" s="1" a="1"/>
  <c r="G121" i="109" s="1"/>
  <c r="X126" i="109" a="1"/>
  <c r="X126" i="109" s="1"/>
  <c r="T126" i="109" a="1"/>
  <c r="T126" i="109" s="1"/>
  <c r="F126" i="109" s="1"/>
  <c r="I126" i="109" s="1" a="1"/>
  <c r="I126" i="109" s="1"/>
  <c r="T125" i="109" a="1"/>
  <c r="T125" i="109" s="1"/>
  <c r="T124" i="109" a="1"/>
  <c r="T124" i="109" s="1"/>
  <c r="F124" i="109" s="1"/>
  <c r="I124" i="109" s="1" a="1"/>
  <c r="I124" i="109" s="1"/>
  <c r="T123" i="109" a="1"/>
  <c r="T123" i="109" s="1"/>
  <c r="T119" i="109" a="1"/>
  <c r="T119" i="109" s="1"/>
  <c r="F119" i="109" s="1"/>
  <c r="G119" i="109" s="1" a="1"/>
  <c r="G119" i="109" s="1"/>
  <c r="E24" i="72"/>
  <c r="F67" i="13" s="1"/>
  <c r="AC182" i="81" a="1"/>
  <c r="AC182" i="81" s="1"/>
  <c r="Y182" i="81" a="1"/>
  <c r="Y182" i="81" s="1"/>
  <c r="W182" i="81" a="1"/>
  <c r="W182" i="81" s="1"/>
  <c r="AC189" i="81" a="1"/>
  <c r="AC189" i="81" s="1"/>
  <c r="Y189" i="81" a="1"/>
  <c r="Y189" i="81" s="1"/>
  <c r="W189" i="81" a="1"/>
  <c r="W189" i="81" s="1"/>
  <c r="Y180" i="81" a="1"/>
  <c r="Y180" i="81" s="1"/>
  <c r="W180" i="81" a="1"/>
  <c r="W180" i="81" s="1"/>
  <c r="AC180" i="81" a="1"/>
  <c r="AC180" i="81" s="1"/>
  <c r="AC183" i="81" a="1"/>
  <c r="AC183" i="81" s="1"/>
  <c r="Y183" i="81" a="1"/>
  <c r="Y183" i="81" s="1"/>
  <c r="W183" i="81" a="1"/>
  <c r="W183" i="81" s="1"/>
  <c r="AC186" i="81" a="1"/>
  <c r="AC186" i="81" s="1"/>
  <c r="Y186" i="81" a="1"/>
  <c r="Y186" i="81" s="1"/>
  <c r="W186" i="81" a="1"/>
  <c r="W186" i="81" s="1"/>
  <c r="Y187" i="81" a="1"/>
  <c r="Y187" i="81" s="1"/>
  <c r="W187" i="81" a="1"/>
  <c r="W187" i="81" s="1"/>
  <c r="AC187" i="81" a="1"/>
  <c r="AC187" i="81" s="1"/>
  <c r="W185" i="81" a="1"/>
  <c r="W185" i="81" s="1"/>
  <c r="AC185" i="81" a="1"/>
  <c r="AC185" i="81" s="1"/>
  <c r="Y185" i="81" a="1"/>
  <c r="Y185" i="81" s="1"/>
  <c r="AC188" i="81" a="1"/>
  <c r="AC188" i="81" s="1"/>
  <c r="Y188" i="81" a="1"/>
  <c r="Y188" i="81" s="1"/>
  <c r="W188" i="81" a="1"/>
  <c r="W188" i="81" s="1"/>
  <c r="AC184" i="81" a="1"/>
  <c r="AC184" i="81" s="1"/>
  <c r="Y184" i="81" a="1"/>
  <c r="Y184" i="81" s="1"/>
  <c r="W184" i="81" a="1"/>
  <c r="W184" i="81" s="1"/>
  <c r="Y190" i="81" a="1"/>
  <c r="Y190" i="81" s="1"/>
  <c r="W190" i="81" a="1"/>
  <c r="W190" i="81" s="1"/>
  <c r="AC190" i="81" a="1"/>
  <c r="AC190" i="81" s="1"/>
  <c r="AC181" i="81" a="1"/>
  <c r="AC181" i="81" s="1"/>
  <c r="W181" i="81" a="1"/>
  <c r="W181" i="81" s="1"/>
  <c r="Y181" i="81" a="1"/>
  <c r="Y181" i="81" s="1"/>
  <c r="AC191" i="81" a="1"/>
  <c r="AC191" i="81" s="1"/>
  <c r="Y191" i="81" a="1"/>
  <c r="Y191" i="81" s="1"/>
  <c r="W191" i="81" a="1"/>
  <c r="W191" i="81" s="1"/>
  <c r="Q27" i="97" a="1"/>
  <c r="Q27" i="97" s="1"/>
  <c r="N25" i="96" a="1"/>
  <c r="N25" i="96" s="1"/>
  <c r="Q29" i="96" a="1"/>
  <c r="Q29" i="96" s="1"/>
  <c r="J27" i="109" a="1"/>
  <c r="J27" i="109" s="1"/>
  <c r="E166" i="109"/>
  <c r="E142" i="109"/>
  <c r="E473" i="109"/>
  <c r="M31" i="109" a="1"/>
  <c r="M31" i="109" s="1"/>
  <c r="E90" i="109"/>
  <c r="F239" i="109" a="1"/>
  <c r="F239" i="109" s="1"/>
  <c r="G239" i="109" s="1" a="1"/>
  <c r="G239" i="109" s="1"/>
  <c r="F238" i="109" a="1"/>
  <c r="F238" i="109" s="1"/>
  <c r="G238" i="109" s="1" a="1"/>
  <c r="G238" i="109" s="1"/>
  <c r="F246" i="109" a="1"/>
  <c r="F246" i="109" s="1"/>
  <c r="G246" i="109" s="1" a="1"/>
  <c r="G246" i="109" s="1"/>
  <c r="J32" i="109" a="1"/>
  <c r="J32" i="109" s="1"/>
  <c r="J375" i="109" a="1"/>
  <c r="J375" i="109" s="1"/>
  <c r="J26" i="109" a="1"/>
  <c r="J26" i="109" s="1"/>
  <c r="H244" i="109" a="1"/>
  <c r="H244" i="109" s="1"/>
  <c r="F122" i="109"/>
  <c r="G122" i="109" s="1" a="1"/>
  <c r="G122" i="109" s="1"/>
  <c r="E483" i="109"/>
  <c r="F123" i="109"/>
  <c r="I123" i="109" s="1" a="1"/>
  <c r="I123" i="109" s="1"/>
  <c r="E72" i="109"/>
  <c r="E621" i="109"/>
  <c r="E472" i="109"/>
  <c r="H242" i="109" a="1"/>
  <c r="H242" i="109" s="1"/>
  <c r="H245" i="109" a="1"/>
  <c r="H245" i="109" s="1"/>
  <c r="K238" i="109" a="1"/>
  <c r="K238" i="109" s="1"/>
  <c r="F237" i="109" a="1"/>
  <c r="F237" i="109" s="1"/>
  <c r="G237" i="109" s="1" a="1"/>
  <c r="G237" i="109" s="1"/>
  <c r="F243" i="109" a="1"/>
  <c r="F243" i="109" s="1"/>
  <c r="G243" i="109" s="1" a="1"/>
  <c r="G243" i="109" s="1"/>
  <c r="H238" i="109" a="1"/>
  <c r="H238" i="109" s="1"/>
  <c r="K242" i="109" a="1"/>
  <c r="K242" i="109" s="1"/>
  <c r="O21" i="103" a="1"/>
  <c r="O21" i="103" s="1"/>
  <c r="K239" i="109" a="1"/>
  <c r="K239" i="109" s="1"/>
  <c r="K244" i="109" a="1"/>
  <c r="K244" i="109" s="1"/>
  <c r="J374" i="109" a="1"/>
  <c r="J374" i="109" s="1"/>
  <c r="F128" i="109"/>
  <c r="I128" i="109" s="1" a="1"/>
  <c r="I128" i="109" s="1"/>
  <c r="F125" i="109"/>
  <c r="I125" i="109" s="1" a="1"/>
  <c r="I125" i="109" s="1"/>
  <c r="K241" i="109" a="1"/>
  <c r="K241" i="109" s="1"/>
  <c r="J367" i="109" a="1"/>
  <c r="J367" i="109" s="1"/>
  <c r="H367" i="109" a="1"/>
  <c r="H367" i="109" s="1"/>
  <c r="E411" i="109"/>
  <c r="H241" i="109" a="1"/>
  <c r="H241" i="109" s="1"/>
  <c r="G42" i="109" a="1"/>
  <c r="G42" i="109" s="1"/>
  <c r="E53" i="109" s="1"/>
  <c r="J42" i="109" a="1"/>
  <c r="J42" i="109" s="1"/>
  <c r="E54" i="109" s="1"/>
  <c r="F242" i="109" a="1"/>
  <c r="F242" i="109" s="1"/>
  <c r="G242" i="109" s="1" a="1"/>
  <c r="G242" i="109" s="1"/>
  <c r="H372" i="109" a="1"/>
  <c r="H372" i="109" s="1"/>
  <c r="I279" i="109" a="1"/>
  <c r="I279" i="109" s="1"/>
  <c r="I281" i="109" a="1"/>
  <c r="I281" i="109" s="1"/>
  <c r="H370" i="109" a="1"/>
  <c r="H370" i="109" s="1"/>
  <c r="F240" i="109" a="1"/>
  <c r="F240" i="109" s="1"/>
  <c r="G240" i="109" s="1" a="1"/>
  <c r="G240" i="109" s="1"/>
  <c r="J454" i="109" a="1"/>
  <c r="J454" i="109" s="1"/>
  <c r="E460" i="109" s="1"/>
  <c r="H454" i="109" a="1"/>
  <c r="H454" i="109" s="1"/>
  <c r="E459" i="109" s="1"/>
  <c r="H368" i="109" a="1"/>
  <c r="H368" i="109" s="1"/>
  <c r="E73" i="109"/>
  <c r="E639" i="109"/>
  <c r="J436" i="109" a="1"/>
  <c r="J436" i="109" s="1"/>
  <c r="E442" i="109" s="1"/>
  <c r="H436" i="109" a="1"/>
  <c r="H436" i="109" s="1"/>
  <c r="E441" i="109" s="1"/>
  <c r="H243" i="109" a="1"/>
  <c r="H243" i="109" s="1"/>
  <c r="J30" i="109" a="1"/>
  <c r="J30" i="109" s="1"/>
  <c r="H240" i="109" a="1"/>
  <c r="H240" i="109" s="1"/>
  <c r="J28" i="109" a="1"/>
  <c r="J28" i="109" s="1"/>
  <c r="F244" i="109" a="1"/>
  <c r="F244" i="109" s="1"/>
  <c r="G244" i="109" s="1" a="1"/>
  <c r="G244" i="109" s="1"/>
  <c r="E141" i="109"/>
  <c r="E91" i="109"/>
  <c r="H239" i="109" a="1"/>
  <c r="H239" i="109" s="1"/>
  <c r="K243" i="109" a="1"/>
  <c r="K243" i="109" s="1"/>
  <c r="E348" i="109"/>
  <c r="F241" i="109" a="1"/>
  <c r="F241" i="109" s="1"/>
  <c r="G241" i="109" s="1" a="1"/>
  <c r="G241" i="109" s="1"/>
  <c r="M29" i="109" a="1"/>
  <c r="M29" i="109" s="1"/>
  <c r="K240" i="109" a="1"/>
  <c r="K240" i="109" s="1"/>
  <c r="K246" i="109" a="1"/>
  <c r="K246" i="109" s="1"/>
  <c r="I280" i="109" a="1"/>
  <c r="I280" i="109" s="1"/>
  <c r="G280" i="109" a="1"/>
  <c r="G280" i="109" s="1"/>
  <c r="H246" i="109" a="1"/>
  <c r="H246" i="109" s="1"/>
  <c r="K237" i="109" a="1"/>
  <c r="K237" i="109" s="1"/>
  <c r="J237" i="109" a="1"/>
  <c r="J237" i="109" s="1"/>
  <c r="H237" i="109" a="1"/>
  <c r="H237" i="109" s="1"/>
  <c r="H373" i="109" a="1"/>
  <c r="H373" i="109" s="1"/>
  <c r="I313" i="109" a="1"/>
  <c r="I313" i="109" s="1"/>
  <c r="J309" i="109" a="1"/>
  <c r="J309" i="109" s="1"/>
  <c r="I306" i="109" a="1"/>
  <c r="I306" i="109" s="1"/>
  <c r="J312" i="109" a="1"/>
  <c r="J312" i="109" s="1"/>
  <c r="I309" i="109" a="1"/>
  <c r="I309" i="109" s="1"/>
  <c r="I312" i="109" a="1"/>
  <c r="I312" i="109" s="1"/>
  <c r="J308" i="109" a="1"/>
  <c r="J308" i="109" s="1"/>
  <c r="J314" i="109" a="1"/>
  <c r="J314" i="109" s="1"/>
  <c r="J306" i="109" a="1"/>
  <c r="J306" i="109" s="1"/>
  <c r="J311" i="109" a="1"/>
  <c r="J311" i="109" s="1"/>
  <c r="I311" i="109" a="1"/>
  <c r="I311" i="109" s="1"/>
  <c r="J310" i="109" a="1"/>
  <c r="J310" i="109" s="1"/>
  <c r="I310" i="109" a="1"/>
  <c r="I310" i="109" s="1"/>
  <c r="I308" i="109" a="1"/>
  <c r="I308" i="109" s="1"/>
  <c r="I314" i="109" a="1"/>
  <c r="I314" i="109" s="1"/>
  <c r="J307" i="109" a="1"/>
  <c r="J307" i="109" s="1"/>
  <c r="J313" i="109" a="1"/>
  <c r="J313" i="109" s="1"/>
  <c r="I307" i="109" a="1"/>
  <c r="I307" i="109" s="1"/>
  <c r="G273" i="109" a="1"/>
  <c r="G273" i="109" s="1"/>
  <c r="E21" i="103" a="1"/>
  <c r="E21" i="103" s="1"/>
  <c r="I175" i="100"/>
  <c r="K175" i="100" s="1" a="1"/>
  <c r="K175" i="100" s="1"/>
  <c r="I26" i="100" a="1"/>
  <c r="I26" i="100" s="1"/>
  <c r="H121" i="100" s="1"/>
  <c r="I121" i="100" s="1"/>
  <c r="K121" i="100" s="1" a="1"/>
  <c r="K121" i="100" s="1"/>
  <c r="I71" i="100" a="1"/>
  <c r="I71" i="100" s="1"/>
  <c r="H169" i="100" s="1"/>
  <c r="I37" i="100" a="1"/>
  <c r="I37" i="100" s="1"/>
  <c r="H132" i="100" s="1"/>
  <c r="I132" i="100" s="1"/>
  <c r="K132" i="100" s="1" a="1"/>
  <c r="K132" i="100" s="1"/>
  <c r="I24" i="100" a="1"/>
  <c r="I24" i="100" s="1"/>
  <c r="H119" i="100" s="1"/>
  <c r="I119" i="100" s="1"/>
  <c r="K119" i="100" s="1" a="1"/>
  <c r="K119" i="100" s="1"/>
  <c r="I40" i="100" a="1"/>
  <c r="I40" i="100" s="1"/>
  <c r="H135" i="100" s="1"/>
  <c r="I135" i="100" s="1"/>
  <c r="K135" i="100" s="1" a="1"/>
  <c r="K135" i="100" s="1"/>
  <c r="I61" i="100" a="1"/>
  <c r="I61" i="100" s="1"/>
  <c r="H159" i="100" s="1"/>
  <c r="I159" i="100" s="1"/>
  <c r="K159" i="100" s="1" a="1"/>
  <c r="K159" i="100" s="1"/>
  <c r="I27" i="100" a="1"/>
  <c r="I27" i="100" s="1"/>
  <c r="H122" i="100" s="1"/>
  <c r="I28" i="100" a="1"/>
  <c r="I28" i="100" s="1"/>
  <c r="H123" i="100" s="1"/>
  <c r="I54" i="100" a="1"/>
  <c r="I54" i="100" s="1"/>
  <c r="H149" i="100" s="1"/>
  <c r="I29" i="100" a="1"/>
  <c r="I29" i="100" s="1"/>
  <c r="H124" i="100" s="1"/>
  <c r="I124" i="100" s="1"/>
  <c r="K124" i="100" s="1" a="1"/>
  <c r="K124" i="100" s="1"/>
  <c r="I84" i="100" a="1"/>
  <c r="I84" i="100" s="1"/>
  <c r="H182" i="100" s="1"/>
  <c r="I22" i="100" a="1"/>
  <c r="I22" i="100" s="1"/>
  <c r="H117" i="100" s="1"/>
  <c r="I117" i="100" s="1"/>
  <c r="K117" i="100" s="1" a="1"/>
  <c r="K117" i="100" s="1"/>
  <c r="I78" i="100" a="1"/>
  <c r="I78" i="100" s="1"/>
  <c r="H176" i="100" s="1"/>
  <c r="I176" i="100" s="1"/>
  <c r="K176" i="100" s="1" a="1"/>
  <c r="K176" i="100" s="1"/>
  <c r="I52" i="100" a="1"/>
  <c r="I52" i="100" s="1"/>
  <c r="H147" i="100" s="1"/>
  <c r="I68" i="100" a="1"/>
  <c r="I68" i="100" s="1"/>
  <c r="H166" i="100" s="1"/>
  <c r="I166" i="100" s="1"/>
  <c r="K166" i="100" s="1" a="1"/>
  <c r="K166" i="100" s="1"/>
  <c r="I59" i="100" a="1"/>
  <c r="I59" i="100" s="1"/>
  <c r="H157" i="100" s="1"/>
  <c r="I47" i="100" a="1"/>
  <c r="I47" i="100" s="1"/>
  <c r="H142" i="100" s="1"/>
  <c r="I53" i="100" a="1"/>
  <c r="I53" i="100" s="1"/>
  <c r="H148" i="100" s="1"/>
  <c r="I173" i="100"/>
  <c r="K173" i="100" s="1" a="1"/>
  <c r="K173" i="100" s="1"/>
  <c r="I39" i="100" a="1"/>
  <c r="I39" i="100" s="1"/>
  <c r="H134" i="100" s="1"/>
  <c r="I134" i="100" s="1"/>
  <c r="K134" i="100" s="1" a="1"/>
  <c r="K134" i="100" s="1"/>
  <c r="I165" i="100"/>
  <c r="I45" i="100" a="1"/>
  <c r="I45" i="100" s="1"/>
  <c r="H140" i="100" s="1"/>
  <c r="I158" i="100"/>
  <c r="K158" i="100" s="1" a="1"/>
  <c r="K158" i="100" s="1"/>
  <c r="I74" i="100" a="1"/>
  <c r="I74" i="100" s="1"/>
  <c r="H172" i="100" s="1"/>
  <c r="I41" i="100" a="1"/>
  <c r="I41" i="100" s="1"/>
  <c r="H136" i="100" s="1"/>
  <c r="I136" i="100" s="1"/>
  <c r="K136" i="100" s="1" a="1"/>
  <c r="K136" i="100" s="1"/>
  <c r="I66" i="100" a="1"/>
  <c r="I66" i="100" s="1"/>
  <c r="H164" i="100" s="1"/>
  <c r="I92" i="100" a="1"/>
  <c r="I92" i="100" s="1"/>
  <c r="H190" i="100" s="1"/>
  <c r="I38" i="100" a="1"/>
  <c r="I38" i="100" s="1"/>
  <c r="H133" i="100" s="1"/>
  <c r="I133" i="100" s="1"/>
  <c r="K133" i="100" s="1" a="1"/>
  <c r="K133" i="100" s="1"/>
  <c r="Q35" i="97" a="1"/>
  <c r="Q35" i="97" s="1"/>
  <c r="Q39" i="97" a="1"/>
  <c r="Q39" i="97" s="1"/>
  <c r="P40" i="97" a="1"/>
  <c r="P40" i="97" s="1"/>
  <c r="O40" i="97" a="1"/>
  <c r="O40" i="97" s="1"/>
  <c r="N40" i="97" a="1"/>
  <c r="N40" i="97" s="1"/>
  <c r="Q40" i="97" a="1"/>
  <c r="Q40" i="97" s="1"/>
  <c r="F68" i="90" a="1"/>
  <c r="F68" i="90" s="1"/>
  <c r="O36" i="97" a="1"/>
  <c r="O36" i="97" s="1"/>
  <c r="N36" i="97" a="1"/>
  <c r="N36" i="97" s="1"/>
  <c r="Q36" i="97" a="1"/>
  <c r="Q36" i="97" s="1"/>
  <c r="P36" i="97" a="1"/>
  <c r="P36" i="97" s="1"/>
  <c r="F73" i="90" a="1"/>
  <c r="F73" i="90" s="1"/>
  <c r="N34" i="97" a="1"/>
  <c r="N34" i="97" s="1"/>
  <c r="P34" i="97" a="1"/>
  <c r="P34" i="97" s="1"/>
  <c r="P35" i="97" a="1"/>
  <c r="P35" i="97" s="1"/>
  <c r="O35" i="97" a="1"/>
  <c r="O35" i="97" s="1"/>
  <c r="N35" i="97" a="1"/>
  <c r="N35" i="97" s="1"/>
  <c r="P39" i="97" a="1"/>
  <c r="P39" i="97" s="1"/>
  <c r="O39" i="97" a="1"/>
  <c r="O39" i="97" s="1"/>
  <c r="N39" i="97" a="1"/>
  <c r="N39" i="97" s="1"/>
  <c r="P33" i="97" a="1"/>
  <c r="P33" i="97" s="1"/>
  <c r="O33" i="97" a="1"/>
  <c r="O33" i="97" s="1"/>
  <c r="N33" i="97" a="1"/>
  <c r="N33" i="97" s="1"/>
  <c r="P30" i="97" a="1"/>
  <c r="P30" i="97" s="1"/>
  <c r="O30" i="97" a="1"/>
  <c r="O30" i="97" s="1"/>
  <c r="N30" i="97" a="1"/>
  <c r="N30" i="97" s="1"/>
  <c r="P38" i="97" a="1"/>
  <c r="P38" i="97" s="1"/>
  <c r="O38" i="97" a="1"/>
  <c r="O38" i="97" s="1"/>
  <c r="N38" i="97" a="1"/>
  <c r="N38" i="97" s="1"/>
  <c r="Q38" i="97" a="1"/>
  <c r="Q38" i="97" s="1"/>
  <c r="Q30" i="97" a="1"/>
  <c r="Q30" i="97" s="1"/>
  <c r="N29" i="97" a="1"/>
  <c r="N29" i="97" s="1"/>
  <c r="Q29" i="97" a="1"/>
  <c r="Q29" i="97" s="1"/>
  <c r="P32" i="97" a="1"/>
  <c r="P32" i="97" s="1"/>
  <c r="O32" i="97" a="1"/>
  <c r="O32" i="97" s="1"/>
  <c r="N32" i="97" a="1"/>
  <c r="N32" i="97" s="1"/>
  <c r="N27" i="97" a="1"/>
  <c r="N27" i="97" s="1"/>
  <c r="P27" i="97" a="1"/>
  <c r="P27" i="97" s="1"/>
  <c r="O27" i="97" a="1"/>
  <c r="O27" i="97" s="1"/>
  <c r="P31" i="97" a="1"/>
  <c r="P31" i="97" s="1"/>
  <c r="O31" i="97" a="1"/>
  <c r="O31" i="97" s="1"/>
  <c r="N31" i="97" a="1"/>
  <c r="N31" i="97" s="1"/>
  <c r="Q31" i="97" a="1"/>
  <c r="Q31" i="97" s="1"/>
  <c r="O26" i="97" a="1"/>
  <c r="O26" i="97" s="1"/>
  <c r="N27" i="96" a="1"/>
  <c r="N27" i="96" s="1"/>
  <c r="Q27" i="96" a="1"/>
  <c r="Q27" i="96" s="1"/>
  <c r="P27" i="96" a="1"/>
  <c r="P27" i="96" s="1"/>
  <c r="O27" i="96" a="1"/>
  <c r="O27" i="96" s="1"/>
  <c r="O32" i="96" a="1"/>
  <c r="O32" i="96" s="1"/>
  <c r="N32" i="96" a="1"/>
  <c r="N32" i="96" s="1"/>
  <c r="P32" i="96" a="1"/>
  <c r="P32" i="96" s="1"/>
  <c r="N39" i="96" a="1"/>
  <c r="N39" i="96" s="1"/>
  <c r="Q38" i="96" a="1"/>
  <c r="Q38" i="96" s="1"/>
  <c r="P38" i="96" a="1"/>
  <c r="P38" i="96" s="1"/>
  <c r="O38" i="96" a="1"/>
  <c r="O38" i="96" s="1"/>
  <c r="N38" i="96" a="1"/>
  <c r="N38" i="96" s="1"/>
  <c r="O39" i="96" a="1"/>
  <c r="O39" i="96" s="1"/>
  <c r="P39" i="96" a="1"/>
  <c r="P39" i="96" s="1"/>
  <c r="P31" i="96" a="1"/>
  <c r="P31" i="96" s="1"/>
  <c r="O31" i="96" a="1"/>
  <c r="O31" i="96" s="1"/>
  <c r="N31" i="96" a="1"/>
  <c r="N31" i="96" s="1"/>
  <c r="P33" i="96" a="1"/>
  <c r="P33" i="96" s="1"/>
  <c r="E51" i="96" s="1"/>
  <c r="N33" i="96" a="1"/>
  <c r="N33" i="96" s="1"/>
  <c r="E49" i="96" s="1"/>
  <c r="Q26" i="96" a="1"/>
  <c r="Q26" i="96" s="1"/>
  <c r="P26" i="96" a="1"/>
  <c r="P26" i="96" s="1"/>
  <c r="O26" i="96" a="1"/>
  <c r="O26" i="96" s="1"/>
  <c r="N26" i="96" a="1"/>
  <c r="N26" i="96" s="1"/>
  <c r="Q31" i="96" a="1"/>
  <c r="Q31" i="96" s="1"/>
  <c r="F70" i="90" a="1"/>
  <c r="F70" i="90" s="1"/>
  <c r="P28" i="96" a="1"/>
  <c r="P28" i="96" s="1"/>
  <c r="O28" i="96" a="1"/>
  <c r="O28" i="96" s="1"/>
  <c r="N28" i="96" a="1"/>
  <c r="N28" i="96" s="1"/>
  <c r="Q28" i="96" a="1"/>
  <c r="Q28" i="96" s="1"/>
  <c r="P30" i="96" a="1"/>
  <c r="P30" i="96" s="1"/>
  <c r="N36" i="96" a="1"/>
  <c r="N36" i="96" s="1"/>
  <c r="Q36" i="96" a="1"/>
  <c r="Q36" i="96" s="1"/>
  <c r="E58" i="96" s="1"/>
  <c r="P36" i="96" a="1"/>
  <c r="P36" i="96" s="1"/>
  <c r="O36" i="96" a="1"/>
  <c r="O36" i="96" s="1"/>
  <c r="N35" i="96" a="1"/>
  <c r="N35" i="96" s="1"/>
  <c r="N34" i="96" a="1"/>
  <c r="N34" i="96" s="1"/>
  <c r="O35" i="96" a="1"/>
  <c r="O35" i="96" s="1"/>
  <c r="O34" i="96" a="1"/>
  <c r="O34" i="96" s="1"/>
  <c r="P35" i="96" a="1"/>
  <c r="P35" i="96" s="1"/>
  <c r="P29" i="96" a="1"/>
  <c r="P29" i="96" s="1"/>
  <c r="O29" i="96" a="1"/>
  <c r="O29" i="96" s="1"/>
  <c r="N29" i="96" a="1"/>
  <c r="N29" i="96" s="1"/>
  <c r="P34" i="96" a="1"/>
  <c r="P34" i="96" s="1"/>
  <c r="Q32" i="96" a="1"/>
  <c r="Q32" i="96" s="1"/>
  <c r="P25" i="96" a="1"/>
  <c r="P25" i="96" s="1"/>
  <c r="F71" i="90" a="1"/>
  <c r="F71" i="90" s="1"/>
  <c r="F75" i="90" a="1"/>
  <c r="F75" i="90" s="1"/>
  <c r="F72" i="90" a="1"/>
  <c r="F72" i="90" s="1"/>
  <c r="Y36" i="80" a="1"/>
  <c r="Y36" i="80" s="1"/>
  <c r="AC36" i="80" s="1" a="1"/>
  <c r="AC36" i="80" s="1"/>
  <c r="W108" i="81" a="1"/>
  <c r="W108" i="81" s="1"/>
  <c r="AC108" i="81" s="1" a="1"/>
  <c r="AC108" i="81" s="1"/>
  <c r="W109" i="81" a="1"/>
  <c r="W109" i="81" s="1"/>
  <c r="AC109" i="81" s="1" a="1"/>
  <c r="AC109" i="81" s="1"/>
  <c r="F98" i="81" a="1"/>
  <c r="F98" i="81" s="1"/>
  <c r="J98" i="81" s="1" a="1"/>
  <c r="J98" i="81" s="1"/>
  <c r="W107" i="81" a="1"/>
  <c r="W107" i="81" s="1"/>
  <c r="AA107" i="81" s="1" a="1"/>
  <c r="AA107" i="81" s="1"/>
  <c r="AE28" i="80" a="1"/>
  <c r="AE28" i="80" s="1"/>
  <c r="AD28" i="80" a="1"/>
  <c r="AD28" i="80" s="1"/>
  <c r="AC28" i="80" a="1"/>
  <c r="AC28" i="80" s="1"/>
  <c r="U52" i="85"/>
  <c r="V52" i="85" a="1"/>
  <c r="V52" i="85" s="1"/>
  <c r="K97" i="81" a="1"/>
  <c r="K97" i="81" s="1"/>
  <c r="L30" i="80" a="1"/>
  <c r="L30" i="80" s="1"/>
  <c r="M30" i="80" a="1"/>
  <c r="M30" i="80" s="1"/>
  <c r="G31" i="80"/>
  <c r="N31" i="80" s="1" a="1"/>
  <c r="N31" i="80" s="1"/>
  <c r="AC106" i="81" a="1"/>
  <c r="AC106" i="81" s="1"/>
  <c r="G33" i="80"/>
  <c r="M33" i="80" s="1" a="1"/>
  <c r="M33" i="80" s="1"/>
  <c r="Y35" i="80" a="1"/>
  <c r="Y35" i="80" s="1"/>
  <c r="AD35" i="80" s="1" a="1"/>
  <c r="AD35" i="80" s="1"/>
  <c r="AB101" i="81" a="1"/>
  <c r="AB101" i="81" s="1"/>
  <c r="AC30" i="80" a="1"/>
  <c r="AC30" i="80" s="1"/>
  <c r="AA106" i="81" a="1"/>
  <c r="AA106" i="81" s="1"/>
  <c r="Y37" i="80" a="1"/>
  <c r="Y37" i="80" s="1"/>
  <c r="AE37" i="80" s="1" a="1"/>
  <c r="AE37" i="80" s="1"/>
  <c r="AC39" i="80" a="1"/>
  <c r="AC39" i="80" s="1"/>
  <c r="K96" i="81" a="1"/>
  <c r="K96" i="81" s="1"/>
  <c r="AE39" i="80" a="1"/>
  <c r="AE39" i="80" s="1"/>
  <c r="L96" i="81" a="1"/>
  <c r="L96" i="81" s="1"/>
  <c r="AA105" i="81" a="1"/>
  <c r="AA105" i="81" s="1"/>
  <c r="AC100" i="81" a="1"/>
  <c r="AC100" i="81" s="1"/>
  <c r="AC105" i="81" a="1"/>
  <c r="AC105" i="81" s="1"/>
  <c r="M148" i="78"/>
  <c r="AA101" i="81" a="1"/>
  <c r="AA101" i="81" s="1"/>
  <c r="AB100" i="81" a="1"/>
  <c r="AB100" i="81" s="1"/>
  <c r="L97" i="81" a="1"/>
  <c r="L97" i="81" s="1"/>
  <c r="AC103" i="81" a="1"/>
  <c r="AC103" i="81" s="1"/>
  <c r="AB103" i="81" a="1"/>
  <c r="AB103" i="81" s="1"/>
  <c r="AA103" i="81" a="1"/>
  <c r="AA103" i="81" s="1"/>
  <c r="N32" i="80" a="1"/>
  <c r="N32" i="80" s="1"/>
  <c r="M32" i="80" a="1"/>
  <c r="M32" i="80" s="1"/>
  <c r="AC104" i="81" a="1"/>
  <c r="AC104" i="81" s="1"/>
  <c r="AB104" i="81" a="1"/>
  <c r="AB104" i="81" s="1"/>
  <c r="L95" i="81" a="1"/>
  <c r="L95" i="81" s="1"/>
  <c r="K95" i="81" a="1"/>
  <c r="K95" i="81" s="1"/>
  <c r="H26" i="13"/>
  <c r="AA104" i="81" a="1"/>
  <c r="AA104" i="81" s="1"/>
  <c r="AC111" i="81" a="1"/>
  <c r="AC111" i="81" s="1"/>
  <c r="AB111" i="81" a="1"/>
  <c r="AB111" i="81" s="1"/>
  <c r="AA111" i="81" a="1"/>
  <c r="AA111" i="81" s="1"/>
  <c r="N30" i="80" a="1"/>
  <c r="N30" i="80" s="1"/>
  <c r="AC110" i="81" a="1"/>
  <c r="AC110" i="81" s="1"/>
  <c r="AB110" i="81" a="1"/>
  <c r="AB110" i="81" s="1"/>
  <c r="AC33" i="77" a="1"/>
  <c r="AC33" i="77" s="1"/>
  <c r="AA34" i="77" a="1"/>
  <c r="AA34" i="77" s="1"/>
  <c r="AF133" i="77"/>
  <c r="G147" i="78"/>
  <c r="AD38" i="80" a="1"/>
  <c r="AD38" i="80" s="1"/>
  <c r="AE32" i="80" a="1"/>
  <c r="AE32" i="80" s="1"/>
  <c r="AD32" i="80" a="1"/>
  <c r="AD32" i="80" s="1"/>
  <c r="AD30" i="80" a="1"/>
  <c r="AD30" i="80" s="1"/>
  <c r="AE38" i="80" a="1"/>
  <c r="AE38" i="80" s="1"/>
  <c r="AE29" i="80" a="1"/>
  <c r="AE29" i="80" s="1"/>
  <c r="AD29" i="80" a="1"/>
  <c r="AD29" i="80" s="1"/>
  <c r="AC29" i="80" a="1"/>
  <c r="AC29" i="80" s="1"/>
  <c r="AB34" i="77" a="1"/>
  <c r="AB34" i="77" s="1"/>
  <c r="AC37" i="77" a="1"/>
  <c r="AC37" i="77" s="1"/>
  <c r="AC32" i="80" a="1"/>
  <c r="AC32" i="80" s="1"/>
  <c r="J147" i="78"/>
  <c r="G148" i="78"/>
  <c r="AA33" i="77" a="1"/>
  <c r="AA33" i="77" s="1"/>
  <c r="M147" i="78"/>
  <c r="O124" i="79"/>
  <c r="N121" i="79"/>
  <c r="O121" i="79" s="1"/>
  <c r="N124" i="79"/>
  <c r="G146" i="78"/>
  <c r="N149" i="78"/>
  <c r="G149" i="78"/>
  <c r="H148" i="78"/>
  <c r="AA28" i="77" a="1"/>
  <c r="AA28" i="77" s="1"/>
  <c r="AA37" i="77" a="1"/>
  <c r="AA37" i="77" s="1"/>
  <c r="AC28" i="77" a="1"/>
  <c r="AC28" i="77" s="1"/>
  <c r="AA32" i="77" a="1"/>
  <c r="AA32" i="77" s="1"/>
  <c r="P146" i="78"/>
  <c r="L148" i="78"/>
  <c r="H147" i="78"/>
  <c r="J146" i="78"/>
  <c r="N146" i="78"/>
  <c r="M146" i="78"/>
  <c r="I148" i="78"/>
  <c r="O146" i="78"/>
  <c r="K149" i="78"/>
  <c r="K146" i="78"/>
  <c r="N147" i="78"/>
  <c r="L149" i="78"/>
  <c r="L146" i="78"/>
  <c r="O149" i="78"/>
  <c r="O147" i="78"/>
  <c r="H149" i="78"/>
  <c r="I147" i="78"/>
  <c r="H146" i="78"/>
  <c r="M149" i="78"/>
  <c r="P149" i="78"/>
  <c r="P147" i="78"/>
  <c r="K148" i="78"/>
  <c r="O148" i="78"/>
  <c r="J149" i="78"/>
  <c r="P148" i="78"/>
  <c r="J148" i="78"/>
  <c r="K147" i="78"/>
  <c r="I146" i="78"/>
  <c r="L147" i="78"/>
  <c r="N148" i="78"/>
  <c r="AB39" i="77" a="1"/>
  <c r="AB39" i="77" s="1"/>
  <c r="AA39" i="77" a="1"/>
  <c r="AA39" i="77" s="1"/>
  <c r="AB32" i="77" a="1"/>
  <c r="AB32" i="77" s="1"/>
  <c r="AA29" i="77" a="1"/>
  <c r="AA29" i="77" s="1"/>
  <c r="AB29" i="77" a="1"/>
  <c r="AB29" i="77" s="1"/>
  <c r="AC38" i="77" a="1"/>
  <c r="AC38" i="77" s="1"/>
  <c r="AB31" i="77" a="1"/>
  <c r="AB31" i="77" s="1"/>
  <c r="AC31" i="77" a="1"/>
  <c r="AC31" i="77" s="1"/>
  <c r="J27" i="77" a="1"/>
  <c r="J27" i="77" s="1"/>
  <c r="L27" i="77" a="1"/>
  <c r="L27" i="77" s="1"/>
  <c r="K27" i="77" a="1"/>
  <c r="K27" i="77" s="1"/>
  <c r="L28" i="77" a="1"/>
  <c r="L28" i="77" s="1"/>
  <c r="J28" i="77" a="1"/>
  <c r="J28" i="77" s="1"/>
  <c r="AB38" i="77" a="1"/>
  <c r="AB38" i="77" s="1"/>
  <c r="K28" i="77" a="1"/>
  <c r="K28" i="77" s="1"/>
  <c r="AA31" i="77" a="1"/>
  <c r="AA31" i="77" s="1"/>
  <c r="AC39" i="77" a="1"/>
  <c r="AC39" i="77" s="1"/>
  <c r="AB30" i="77" a="1"/>
  <c r="AB30" i="77" s="1"/>
  <c r="AA30" i="77" a="1"/>
  <c r="AA30" i="77" s="1"/>
  <c r="F27" i="13"/>
  <c r="I27" i="13" s="1"/>
  <c r="H27" i="13"/>
  <c r="E22" i="75"/>
  <c r="N123" i="76"/>
  <c r="O123" i="76" s="1"/>
  <c r="E19" i="75"/>
  <c r="E20" i="75"/>
  <c r="E21" i="75" s="1"/>
  <c r="E37" i="13"/>
  <c r="E39" i="13"/>
  <c r="F39" i="13"/>
  <c r="H54" i="74"/>
  <c r="H51" i="74"/>
  <c r="H49" i="74"/>
  <c r="F62" i="13"/>
  <c r="H53" i="74"/>
  <c r="H48" i="74"/>
  <c r="I20" i="88" s="1"/>
  <c r="H52" i="74"/>
  <c r="H50" i="74"/>
  <c r="I34" i="83" s="1"/>
  <c r="G278" i="109" l="1" a="1"/>
  <c r="G278" i="109" s="1"/>
  <c r="I278" i="109" a="1"/>
  <c r="I278" i="109" s="1"/>
  <c r="I126" i="100"/>
  <c r="K126" i="100" s="1" a="1"/>
  <c r="K126" i="100" s="1"/>
  <c r="J51" i="89"/>
  <c r="I25" i="100" a="1"/>
  <c r="I25" i="100" s="1"/>
  <c r="H120" i="100" s="1"/>
  <c r="I120" i="100" s="1"/>
  <c r="K120" i="100" s="1" a="1"/>
  <c r="K120" i="100" s="1"/>
  <c r="P25" i="97" a="1"/>
  <c r="P25" i="97" s="1"/>
  <c r="O25" i="97" a="1"/>
  <c r="O25" i="97" s="1"/>
  <c r="N25" i="97" a="1"/>
  <c r="N25" i="97" s="1"/>
  <c r="S50" i="85" a="1"/>
  <c r="S50" i="85" s="1"/>
  <c r="W50" i="85"/>
  <c r="T50" i="85"/>
  <c r="R50" i="85" a="1"/>
  <c r="R50" i="85" s="1"/>
  <c r="Q50" i="85"/>
  <c r="I33" i="82"/>
  <c r="I53" i="110"/>
  <c r="S74" i="85"/>
  <c r="S68" i="85" s="1" a="1"/>
  <c r="S68" i="85" s="1"/>
  <c r="J54" i="89"/>
  <c r="I129" i="89"/>
  <c r="I55" i="85"/>
  <c r="H29" i="88" a="1"/>
  <c r="H29" i="88" s="1"/>
  <c r="H27" i="88" a="1"/>
  <c r="H27" i="88" s="1"/>
  <c r="H26" i="88" a="1"/>
  <c r="H26" i="88" s="1"/>
  <c r="H28" i="88" a="1"/>
  <c r="H28" i="88" s="1"/>
  <c r="H25" i="88" a="1"/>
  <c r="H25" i="88" s="1"/>
  <c r="I36" i="100" a="1"/>
  <c r="I36" i="100" s="1"/>
  <c r="H131" i="100" s="1"/>
  <c r="U51" i="85"/>
  <c r="V51" i="85" a="1"/>
  <c r="V51" i="85" s="1"/>
  <c r="I125" i="100"/>
  <c r="K125" i="100" s="1" a="1"/>
  <c r="K125" i="100" s="1"/>
  <c r="G275" i="109" a="1"/>
  <c r="G275" i="109" s="1"/>
  <c r="N37" i="97" a="1"/>
  <c r="N37" i="97" s="1"/>
  <c r="P37" i="97" a="1"/>
  <c r="P37" i="97" s="1"/>
  <c r="K48" i="87"/>
  <c r="K45" i="87" s="1"/>
  <c r="H227" i="81"/>
  <c r="H225" i="81" s="1"/>
  <c r="J17" i="110"/>
  <c r="J14" i="110" s="1"/>
  <c r="J37" i="103"/>
  <c r="J34" i="103" s="1" a="1"/>
  <c r="J34" i="103" s="1"/>
  <c r="O37" i="97" a="1"/>
  <c r="O37" i="97" s="1"/>
  <c r="Q37" i="97" a="1"/>
  <c r="Q37" i="97" s="1"/>
  <c r="N28" i="97" a="1"/>
  <c r="N28" i="97" s="1"/>
  <c r="P28" i="97" a="1"/>
  <c r="P28" i="97" s="1"/>
  <c r="Q28" i="97" a="1"/>
  <c r="Q28" i="97" s="1"/>
  <c r="E270" i="109"/>
  <c r="F270" i="109" a="1"/>
  <c r="F270" i="109" s="1"/>
  <c r="J38" i="104"/>
  <c r="J35" i="103"/>
  <c r="I30" i="82"/>
  <c r="J92" i="90"/>
  <c r="I126" i="89"/>
  <c r="F144" i="89" s="1" a="1"/>
  <c r="F144" i="89" s="1"/>
  <c r="S69" i="85"/>
  <c r="K46" i="87"/>
  <c r="I50" i="110"/>
  <c r="O55" i="110" s="1" a="1"/>
  <c r="O55" i="110" s="1"/>
  <c r="R570" i="109" s="1"/>
  <c r="I51" i="85"/>
  <c r="J15" i="110"/>
  <c r="J88" i="110"/>
  <c r="H226" i="81"/>
  <c r="G277" i="109" a="1"/>
  <c r="G277" i="109" s="1"/>
  <c r="E221" i="109" a="1"/>
  <c r="E35" i="86" a="1"/>
  <c r="E35" i="86" s="1"/>
  <c r="G35" i="86" s="1" a="1"/>
  <c r="G35" i="86" s="1"/>
  <c r="E74" i="86" s="1" a="1"/>
  <c r="E74" i="86" s="1"/>
  <c r="E28" i="86" a="1"/>
  <c r="E28" i="86" s="1"/>
  <c r="G28" i="86" s="1" a="1"/>
  <c r="G28" i="86" s="1"/>
  <c r="E67" i="86" s="1" a="1"/>
  <c r="E67" i="86" s="1"/>
  <c r="E21" i="86" a="1"/>
  <c r="E21" i="86" s="1"/>
  <c r="G21" i="86" s="1" a="1"/>
  <c r="G21" i="86" s="1"/>
  <c r="E60" i="86" s="1" a="1"/>
  <c r="E60" i="86" s="1"/>
  <c r="E35" i="85" a="1"/>
  <c r="E35" i="85" s="1"/>
  <c r="G35" i="85" s="1" a="1"/>
  <c r="G35" i="85" s="1"/>
  <c r="E28" i="85" a="1"/>
  <c r="E28" i="85" s="1"/>
  <c r="G28" i="85" s="1" a="1"/>
  <c r="G28" i="85" s="1"/>
  <c r="E21" i="85" a="1"/>
  <c r="E21" i="85" s="1"/>
  <c r="G21" i="85" s="1" a="1"/>
  <c r="G21" i="85" s="1"/>
  <c r="E31" i="86" a="1"/>
  <c r="E31" i="86" s="1"/>
  <c r="G31" i="86" s="1" a="1"/>
  <c r="G31" i="86" s="1"/>
  <c r="E70" i="86" s="1" a="1"/>
  <c r="E70" i="86" s="1"/>
  <c r="E24" i="86" a="1"/>
  <c r="E24" i="86" s="1"/>
  <c r="G24" i="86" s="1" a="1"/>
  <c r="G24" i="86" s="1"/>
  <c r="E63" i="86" s="1" a="1"/>
  <c r="E63" i="86" s="1"/>
  <c r="E31" i="85" a="1"/>
  <c r="E31" i="85" s="1"/>
  <c r="G31" i="85" s="1" a="1"/>
  <c r="G31" i="85" s="1"/>
  <c r="E24" i="85" a="1"/>
  <c r="E24" i="85" s="1"/>
  <c r="G24" i="85" s="1" a="1"/>
  <c r="G24" i="85" s="1"/>
  <c r="E37" i="86" a="1"/>
  <c r="E37" i="86" s="1"/>
  <c r="G37" i="86" s="1" a="1"/>
  <c r="G37" i="86" s="1"/>
  <c r="E76" i="86" s="1" a="1"/>
  <c r="E76" i="86" s="1"/>
  <c r="E25" i="86" a="1"/>
  <c r="E25" i="86" s="1"/>
  <c r="G25" i="86" s="1" a="1"/>
  <c r="G25" i="86" s="1"/>
  <c r="E64" i="86" s="1" a="1"/>
  <c r="E64" i="86" s="1"/>
  <c r="E19" i="85" a="1"/>
  <c r="E19" i="85" s="1"/>
  <c r="E30" i="85" a="1"/>
  <c r="E30" i="85" s="1"/>
  <c r="G30" i="85" s="1" a="1"/>
  <c r="G30" i="85" s="1"/>
  <c r="E36" i="86" a="1"/>
  <c r="E36" i="86" s="1"/>
  <c r="G36" i="86" s="1" a="1"/>
  <c r="G36" i="86" s="1"/>
  <c r="E75" i="86" s="1" a="1"/>
  <c r="E75" i="86" s="1"/>
  <c r="E23" i="86" a="1"/>
  <c r="E23" i="86" s="1"/>
  <c r="G23" i="86" s="1" a="1"/>
  <c r="G23" i="86" s="1"/>
  <c r="E62" i="86" s="1" a="1"/>
  <c r="E62" i="86" s="1"/>
  <c r="E29" i="85" a="1"/>
  <c r="E29" i="85" s="1"/>
  <c r="G29" i="85" s="1" a="1"/>
  <c r="G29" i="85" s="1"/>
  <c r="E34" i="86" a="1"/>
  <c r="E34" i="86" s="1"/>
  <c r="G34" i="86" s="1" a="1"/>
  <c r="G34" i="86" s="1"/>
  <c r="E73" i="86" s="1" a="1"/>
  <c r="E73" i="86" s="1"/>
  <c r="E22" i="86" a="1"/>
  <c r="E22" i="86" s="1"/>
  <c r="G22" i="86" s="1" a="1"/>
  <c r="G22" i="86" s="1"/>
  <c r="E61" i="86" s="1" a="1"/>
  <c r="E61" i="86" s="1"/>
  <c r="E33" i="86" a="1"/>
  <c r="E33" i="86" s="1"/>
  <c r="G33" i="86" s="1" a="1"/>
  <c r="G33" i="86" s="1"/>
  <c r="E72" i="86" s="1" a="1"/>
  <c r="E72" i="86" s="1"/>
  <c r="E27" i="85" a="1"/>
  <c r="E27" i="85" s="1"/>
  <c r="G27" i="85" s="1" a="1"/>
  <c r="G27" i="85" s="1"/>
  <c r="E32" i="86" a="1"/>
  <c r="E32" i="86" s="1"/>
  <c r="G32" i="86" s="1" a="1"/>
  <c r="G32" i="86" s="1"/>
  <c r="E71" i="86" s="1" a="1"/>
  <c r="E71" i="86" s="1"/>
  <c r="E20" i="86" a="1"/>
  <c r="E20" i="86" s="1"/>
  <c r="G20" i="86" s="1" a="1"/>
  <c r="G20" i="86" s="1"/>
  <c r="E59" i="86" s="1" a="1"/>
  <c r="E59" i="86" s="1"/>
  <c r="E26" i="85" a="1"/>
  <c r="E26" i="85" s="1"/>
  <c r="G26" i="85" s="1" a="1"/>
  <c r="G26" i="85" s="1"/>
  <c r="E19" i="86" a="1"/>
  <c r="E19" i="86" s="1"/>
  <c r="E37" i="85" a="1"/>
  <c r="E37" i="85" s="1"/>
  <c r="G37" i="85" s="1" a="1"/>
  <c r="G37" i="85" s="1"/>
  <c r="E25" i="85" a="1"/>
  <c r="E25" i="85" s="1"/>
  <c r="G25" i="85" s="1" a="1"/>
  <c r="G25" i="85" s="1"/>
  <c r="E30" i="86" a="1"/>
  <c r="E30" i="86" s="1"/>
  <c r="G30" i="86" s="1" a="1"/>
  <c r="G30" i="86" s="1"/>
  <c r="E69" i="86" s="1" a="1"/>
  <c r="E69" i="86" s="1"/>
  <c r="E36" i="85" a="1"/>
  <c r="E36" i="85" s="1"/>
  <c r="G36" i="85" s="1" a="1"/>
  <c r="G36" i="85" s="1"/>
  <c r="E23" i="85" a="1"/>
  <c r="E23" i="85" s="1"/>
  <c r="G23" i="85" s="1" a="1"/>
  <c r="G23" i="85" s="1"/>
  <c r="E29" i="86" a="1"/>
  <c r="E29" i="86" s="1"/>
  <c r="G29" i="86" s="1" a="1"/>
  <c r="G29" i="86" s="1"/>
  <c r="E68" i="86" s="1" a="1"/>
  <c r="E68" i="86" s="1"/>
  <c r="E34" i="85" a="1"/>
  <c r="E34" i="85" s="1"/>
  <c r="G34" i="85" s="1" a="1"/>
  <c r="G34" i="85" s="1"/>
  <c r="E22" i="85" a="1"/>
  <c r="E22" i="85" s="1"/>
  <c r="G22" i="85" s="1" a="1"/>
  <c r="G22" i="85" s="1"/>
  <c r="E27" i="86" a="1"/>
  <c r="E27" i="86" s="1"/>
  <c r="G27" i="86" s="1" a="1"/>
  <c r="G27" i="86" s="1"/>
  <c r="E66" i="86" s="1" a="1"/>
  <c r="E66" i="86" s="1"/>
  <c r="E33" i="85" a="1"/>
  <c r="E33" i="85" s="1"/>
  <c r="G33" i="85" s="1" a="1"/>
  <c r="G33" i="85" s="1"/>
  <c r="E26" i="86" a="1"/>
  <c r="E26" i="86" s="1"/>
  <c r="G26" i="86" s="1" a="1"/>
  <c r="G26" i="86" s="1"/>
  <c r="E65" i="86" s="1" a="1"/>
  <c r="E65" i="86" s="1"/>
  <c r="E32" i="85" a="1"/>
  <c r="E32" i="85" s="1"/>
  <c r="G32" i="85" s="1" a="1"/>
  <c r="G32" i="85" s="1"/>
  <c r="E20" i="85" a="1"/>
  <c r="E20" i="85" s="1"/>
  <c r="G20" i="85" s="1" a="1"/>
  <c r="G20" i="85" s="1"/>
  <c r="E48" i="77" a="1"/>
  <c r="I66" i="77" s="1" a="1"/>
  <c r="I66" i="77" s="1"/>
  <c r="I87" i="77" s="1" a="1"/>
  <c r="I87" i="77" s="1"/>
  <c r="I125" i="77" s="1" a="1"/>
  <c r="I125" i="77" s="1"/>
  <c r="E20" i="81" a="1"/>
  <c r="E52" i="80" a="1"/>
  <c r="H84" i="80" s="1" a="1"/>
  <c r="H84" i="80" s="1"/>
  <c r="S224" i="109" a="1"/>
  <c r="S224" i="109" s="1"/>
  <c r="O33" i="96" a="1"/>
  <c r="O33" i="96" s="1"/>
  <c r="E50" i="96" s="1"/>
  <c r="I276" i="109" a="1"/>
  <c r="I276" i="109" s="1"/>
  <c r="G276" i="109" a="1"/>
  <c r="G276" i="109" s="1"/>
  <c r="AE230" i="109" a="1"/>
  <c r="AE230" i="109" s="1"/>
  <c r="O45" i="85" a="1"/>
  <c r="E55" i="110" a="1"/>
  <c r="E55" i="110" s="1"/>
  <c r="J570" i="109" s="1"/>
  <c r="S222" i="109" a="1"/>
  <c r="S222" i="109" s="1"/>
  <c r="AA223" i="109" a="1"/>
  <c r="AA223" i="109" s="1"/>
  <c r="S229" i="109" a="1"/>
  <c r="S229" i="109" s="1"/>
  <c r="AA228" i="109" a="1"/>
  <c r="AA228" i="109" s="1"/>
  <c r="S227" i="109" a="1"/>
  <c r="S227" i="109" s="1"/>
  <c r="AA230" i="109" a="1"/>
  <c r="AA230" i="109" s="1"/>
  <c r="S225" i="109" a="1"/>
  <c r="S225" i="109" s="1"/>
  <c r="Z79" i="77" a="1"/>
  <c r="Z79" i="77" s="1"/>
  <c r="Z100" i="77" s="1" a="1"/>
  <c r="Z100" i="77" s="1"/>
  <c r="Z152" i="77" s="1" a="1"/>
  <c r="Z152" i="77" s="1"/>
  <c r="U221" i="109"/>
  <c r="W221" i="109" s="1" a="1"/>
  <c r="W221" i="109" s="1"/>
  <c r="W230" i="109" a="1"/>
  <c r="W230" i="109" s="1"/>
  <c r="W223" i="109" a="1"/>
  <c r="W223" i="109" s="1"/>
  <c r="W224" i="109" a="1"/>
  <c r="W224" i="109" s="1"/>
  <c r="W225" i="109" a="1"/>
  <c r="W225" i="109" s="1"/>
  <c r="W229" i="109" a="1"/>
  <c r="W229" i="109" s="1"/>
  <c r="W228" i="109" a="1"/>
  <c r="W228" i="109" s="1"/>
  <c r="W227" i="109" a="1"/>
  <c r="W227" i="109" s="1"/>
  <c r="W222" i="109" a="1"/>
  <c r="W222" i="109" s="1"/>
  <c r="W226" i="109" a="1"/>
  <c r="W226" i="109" s="1"/>
  <c r="AM223" i="109" a="1"/>
  <c r="AM223" i="109" s="1"/>
  <c r="AA226" i="109" a="1"/>
  <c r="AA226" i="109" s="1"/>
  <c r="S223" i="109" a="1"/>
  <c r="S223" i="109" s="1"/>
  <c r="I271" i="109" a="1"/>
  <c r="I271" i="109" s="1"/>
  <c r="AG221" i="109"/>
  <c r="AI221" i="109" s="1" a="1"/>
  <c r="AI221" i="109" s="1"/>
  <c r="AI227" i="109" a="1"/>
  <c r="AI227" i="109" s="1"/>
  <c r="AI229" i="109" a="1"/>
  <c r="AI229" i="109" s="1"/>
  <c r="AI222" i="109" a="1"/>
  <c r="AI222" i="109" s="1"/>
  <c r="AI224" i="109" a="1"/>
  <c r="AI224" i="109" s="1"/>
  <c r="AI226" i="109" a="1"/>
  <c r="AI226" i="109" s="1"/>
  <c r="AI228" i="109" a="1"/>
  <c r="AI228" i="109" s="1"/>
  <c r="AI225" i="109" a="1"/>
  <c r="AI225" i="109" s="1"/>
  <c r="AI223" i="109" a="1"/>
  <c r="AI223" i="109" s="1"/>
  <c r="AI230" i="109" a="1"/>
  <c r="AI230" i="109" s="1"/>
  <c r="AM224" i="109" a="1"/>
  <c r="AM224" i="109" s="1"/>
  <c r="X115" i="80" a="1"/>
  <c r="X115" i="80" s="1"/>
  <c r="AA224" i="109" a="1"/>
  <c r="AA224" i="109" s="1"/>
  <c r="S230" i="109" a="1"/>
  <c r="S230" i="109" s="1"/>
  <c r="F74" i="90" a="1"/>
  <c r="F74" i="90" s="1"/>
  <c r="F69" i="90" a="1"/>
  <c r="F69" i="90" s="1"/>
  <c r="E153" i="81" a="1"/>
  <c r="E153" i="81" s="1"/>
  <c r="V44" i="77" a="1"/>
  <c r="AA76" i="77" s="1" a="1"/>
  <c r="AA76" i="77" s="1"/>
  <c r="AA97" i="77" s="1" a="1"/>
  <c r="AA97" i="77" s="1"/>
  <c r="AA149" i="77" s="1" a="1"/>
  <c r="AA149" i="77" s="1"/>
  <c r="V20" i="81" a="1"/>
  <c r="X44" i="80" a="1"/>
  <c r="AB86" i="80" s="1" a="1"/>
  <c r="AB86" i="80" s="1"/>
  <c r="AB141" i="80" s="1" a="1"/>
  <c r="AB141" i="80" s="1"/>
  <c r="AA222" i="109" a="1"/>
  <c r="AA222" i="109" s="1"/>
  <c r="S221" i="109" a="1"/>
  <c r="S221" i="109" s="1"/>
  <c r="AM229" i="109" a="1"/>
  <c r="AM229" i="109" s="1"/>
  <c r="F229" i="109" s="1" a="1"/>
  <c r="F229" i="109" s="1"/>
  <c r="G229" i="109" s="1" a="1"/>
  <c r="G229" i="109" s="1"/>
  <c r="AA87" i="77" a="1"/>
  <c r="AA87" i="77" s="1"/>
  <c r="AA108" i="77" s="1" a="1"/>
  <c r="AA108" i="77" s="1"/>
  <c r="AA160" i="77" s="1" a="1"/>
  <c r="AA160" i="77" s="1"/>
  <c r="P29" i="97" a="1"/>
  <c r="P29" i="97" s="1"/>
  <c r="K165" i="100" a="1"/>
  <c r="K165" i="100" s="1"/>
  <c r="K245" i="109" a="1"/>
  <c r="K245" i="109" s="1"/>
  <c r="G116" i="100" a="1"/>
  <c r="G116" i="100" s="1"/>
  <c r="G21" i="100" a="1"/>
  <c r="G21" i="100" s="1"/>
  <c r="I21" i="100" s="1" a="1"/>
  <c r="I21" i="100" s="1"/>
  <c r="H116" i="100" s="1"/>
  <c r="I116" i="100" s="1"/>
  <c r="K116" i="100" s="1" a="1"/>
  <c r="K116" i="100" s="1"/>
  <c r="G157" i="100" a="1"/>
  <c r="G157" i="100" s="1"/>
  <c r="AM225" i="109" a="1"/>
  <c r="AM225" i="109" s="1"/>
  <c r="Y276" i="80"/>
  <c r="X235" i="80"/>
  <c r="E115" i="80" a="1"/>
  <c r="E115" i="80" s="1"/>
  <c r="E119" i="81" a="1"/>
  <c r="E119" i="81" s="1"/>
  <c r="E68" i="80" a="1"/>
  <c r="E68" i="80" s="1"/>
  <c r="E56" i="77" a="1"/>
  <c r="E56" i="77" s="1"/>
  <c r="E23" i="72"/>
  <c r="F66" i="13" s="1"/>
  <c r="H23" i="109"/>
  <c r="J23" i="109" s="1" a="1"/>
  <c r="J23" i="109" s="1"/>
  <c r="E34" i="109" s="1"/>
  <c r="E93" i="109" s="1"/>
  <c r="J24" i="109" a="1"/>
  <c r="J24" i="109" s="1"/>
  <c r="J25" i="109" a="1"/>
  <c r="J25" i="109" s="1"/>
  <c r="J29" i="109" a="1"/>
  <c r="J29" i="109" s="1"/>
  <c r="J31" i="109" a="1"/>
  <c r="J31" i="109" s="1"/>
  <c r="AA229" i="109" a="1"/>
  <c r="AA229" i="109" s="1"/>
  <c r="O74" i="110" a="1"/>
  <c r="O74" i="110" s="1"/>
  <c r="T86" i="110" s="1"/>
  <c r="O90" i="110" s="1" a="1"/>
  <c r="O90" i="110" s="1"/>
  <c r="R571" i="109" s="1"/>
  <c r="E74" i="110" a="1"/>
  <c r="E74" i="110" s="1"/>
  <c r="J86" i="110" s="1"/>
  <c r="E90" i="110" s="1" a="1"/>
  <c r="E90" i="110" s="1"/>
  <c r="J571" i="109" s="1"/>
  <c r="AE222" i="109" a="1"/>
  <c r="AE222" i="109" s="1"/>
  <c r="AM228" i="109" a="1"/>
  <c r="AM228" i="109" s="1"/>
  <c r="W161" i="77"/>
  <c r="V133" i="77"/>
  <c r="AA227" i="109" a="1"/>
  <c r="AA227" i="109" s="1"/>
  <c r="V120" i="81" a="1"/>
  <c r="V120" i="81" s="1"/>
  <c r="X60" i="80" a="1"/>
  <c r="X60" i="80" s="1"/>
  <c r="V60" i="77" a="1"/>
  <c r="V60" i="77" s="1"/>
  <c r="E103" i="89"/>
  <c r="F103" i="89" s="1" a="1"/>
  <c r="F103" i="89" s="1"/>
  <c r="E135" i="89" s="1"/>
  <c r="F135" i="89" s="1" a="1"/>
  <c r="F135" i="89" s="1"/>
  <c r="E66" i="90"/>
  <c r="F66" i="90" s="1" a="1"/>
  <c r="F66" i="90" s="1"/>
  <c r="AA225" i="109" a="1"/>
  <c r="AA225" i="109" s="1"/>
  <c r="Q37" i="96" a="1"/>
  <c r="Q37" i="96" s="1"/>
  <c r="E64" i="96" s="1"/>
  <c r="O37" i="96" a="1"/>
  <c r="O37" i="96" s="1"/>
  <c r="E62" i="96" s="1"/>
  <c r="N37" i="96" a="1"/>
  <c r="N37" i="96" s="1"/>
  <c r="P37" i="96" a="1"/>
  <c r="P37" i="96" s="1"/>
  <c r="E63" i="96" s="1"/>
  <c r="Z87" i="77" a="1"/>
  <c r="Z87" i="77" s="1"/>
  <c r="Z108" i="77" s="1" a="1"/>
  <c r="Z108" i="77" s="1"/>
  <c r="Z160" i="77" s="1" a="1"/>
  <c r="Z160" i="77" s="1"/>
  <c r="AC77" i="80" a="1"/>
  <c r="AC77" i="80" s="1"/>
  <c r="AC132" i="80" s="1" a="1"/>
  <c r="AC132" i="80" s="1"/>
  <c r="AD190" i="80" s="1" a="1"/>
  <c r="AD190" i="80" s="1"/>
  <c r="AD264" i="80" s="1" a="1"/>
  <c r="AD264" i="80" s="1"/>
  <c r="I185" i="100"/>
  <c r="K185" i="100" s="1" a="1"/>
  <c r="K185" i="100" s="1"/>
  <c r="I123" i="100"/>
  <c r="K123" i="100" s="1" a="1"/>
  <c r="K123" i="100" s="1"/>
  <c r="AE223" i="109" a="1"/>
  <c r="AE223" i="109" s="1"/>
  <c r="AM221" i="109" a="1"/>
  <c r="AM221" i="109" s="1"/>
  <c r="E67" i="90"/>
  <c r="F67" i="90" s="1" a="1"/>
  <c r="F67" i="90" s="1"/>
  <c r="E104" i="89"/>
  <c r="F104" i="89" s="1" a="1"/>
  <c r="F104" i="89" s="1"/>
  <c r="E136" i="89" s="1"/>
  <c r="F136" i="89" s="1" a="1"/>
  <c r="F136" i="89" s="1"/>
  <c r="V164" i="81" a="1"/>
  <c r="V164" i="81" s="1"/>
  <c r="AA221" i="109" a="1"/>
  <c r="AA221" i="109" s="1"/>
  <c r="E642" i="109"/>
  <c r="H66" i="77" a="1"/>
  <c r="H66" i="77" s="1"/>
  <c r="H87" i="77" s="1" a="1"/>
  <c r="H87" i="77" s="1"/>
  <c r="H125" i="77" s="1" a="1"/>
  <c r="H125" i="77" s="1"/>
  <c r="AC85" i="80" a="1"/>
  <c r="AC85" i="80" s="1"/>
  <c r="AC140" i="80" s="1" a="1"/>
  <c r="AC140" i="80" s="1"/>
  <c r="AD198" i="80" s="1" a="1"/>
  <c r="AD198" i="80" s="1"/>
  <c r="AD272" i="80" s="1" a="1"/>
  <c r="AD272" i="80" s="1"/>
  <c r="AA84" i="80" a="1"/>
  <c r="AA84" i="80" s="1"/>
  <c r="I164" i="100"/>
  <c r="K164" i="100" s="1" a="1"/>
  <c r="K164" i="100" s="1"/>
  <c r="G272" i="109" a="1"/>
  <c r="G272" i="109" s="1"/>
  <c r="I272" i="109" a="1"/>
  <c r="I272" i="109" s="1"/>
  <c r="AE228" i="109" a="1"/>
  <c r="AE228" i="109" s="1"/>
  <c r="E102" i="89"/>
  <c r="F102" i="89" s="1" a="1"/>
  <c r="F102" i="89" s="1"/>
  <c r="E134" i="89" s="1"/>
  <c r="F134" i="89" s="1" a="1"/>
  <c r="F134" i="89" s="1"/>
  <c r="E65" i="90"/>
  <c r="F65" i="90" s="1" a="1"/>
  <c r="F65" i="90" s="1"/>
  <c r="E32" i="87"/>
  <c r="K44" i="87" s="1"/>
  <c r="E50" i="87" s="1" a="1"/>
  <c r="E50" i="87" s="1"/>
  <c r="S226" i="109" a="1"/>
  <c r="S226" i="109" s="1"/>
  <c r="F226" i="109" s="1" a="1"/>
  <c r="F226" i="109" s="1"/>
  <c r="G226" i="109" s="1" a="1"/>
  <c r="G226" i="109" s="1"/>
  <c r="Y81" i="77" a="1"/>
  <c r="Y81" i="77" s="1"/>
  <c r="Y102" i="77" s="1" a="1"/>
  <c r="Y102" i="77" s="1"/>
  <c r="Y154" i="77" s="1" a="1"/>
  <c r="Y154" i="77" s="1"/>
  <c r="I122" i="100"/>
  <c r="K122" i="100" s="1" a="1"/>
  <c r="K122" i="100" s="1"/>
  <c r="I274" i="109" a="1"/>
  <c r="I274" i="109" s="1"/>
  <c r="G274" i="109" a="1"/>
  <c r="G274" i="109" s="1"/>
  <c r="AE224" i="109" a="1"/>
  <c r="AE224" i="109" s="1"/>
  <c r="S228" i="109" a="1"/>
  <c r="S228" i="109" s="1"/>
  <c r="T33" i="103"/>
  <c r="O40" i="103" s="1" a="1"/>
  <c r="O40" i="103" s="1"/>
  <c r="Q42" i="103" s="1"/>
  <c r="O45" i="103" s="1" a="1"/>
  <c r="O45" i="103" s="1"/>
  <c r="O25" i="104"/>
  <c r="S25" i="104" s="1" a="1"/>
  <c r="S25" i="104" s="1"/>
  <c r="N46" i="104" s="1"/>
  <c r="O46" i="104" s="1" a="1"/>
  <c r="O46" i="104" s="1"/>
  <c r="O48" i="104" s="1"/>
  <c r="J33" i="103"/>
  <c r="E40" i="103" s="1" a="1"/>
  <c r="E40" i="103" s="1"/>
  <c r="E18" i="13" s="1" a="1"/>
  <c r="E18" i="13" s="1"/>
  <c r="H18" i="13" s="1" a="1"/>
  <c r="H18" i="13" s="1"/>
  <c r="E25" i="104"/>
  <c r="I25" i="104" s="1" a="1"/>
  <c r="I25" i="104" s="1"/>
  <c r="D46" i="104" s="1"/>
  <c r="E46" i="104" s="1" a="1"/>
  <c r="E46" i="104" s="1"/>
  <c r="E48" i="104" s="1"/>
  <c r="E19" i="13" s="1" a="1"/>
  <c r="E19" i="13" s="1"/>
  <c r="H19" i="13" s="1" a="1"/>
  <c r="H19" i="13" s="1"/>
  <c r="I127" i="109" a="1"/>
  <c r="I127" i="109" s="1"/>
  <c r="G126" i="109" a="1"/>
  <c r="G126" i="109" s="1"/>
  <c r="G123" i="109" a="1"/>
  <c r="G123" i="109" s="1"/>
  <c r="G128" i="109" a="1"/>
  <c r="G128" i="109" s="1"/>
  <c r="E35" i="109"/>
  <c r="E94" i="109" s="1"/>
  <c r="F18" i="13" a="1"/>
  <c r="F18" i="13" s="1"/>
  <c r="I18" i="13" s="1" a="1"/>
  <c r="I18" i="13" s="1"/>
  <c r="I122" i="109" a="1"/>
  <c r="I122" i="109" s="1"/>
  <c r="G124" i="109" a="1"/>
  <c r="G124" i="109" s="1"/>
  <c r="G125" i="109" a="1"/>
  <c r="G125" i="109" s="1"/>
  <c r="E379" i="109"/>
  <c r="J305" i="109" a="1"/>
  <c r="J305" i="109" s="1"/>
  <c r="E317" i="109" s="1"/>
  <c r="I305" i="109" a="1"/>
  <c r="I305" i="109" s="1"/>
  <c r="E316" i="109" s="1"/>
  <c r="E378" i="109"/>
  <c r="G42" i="103"/>
  <c r="E45" i="103" s="1" a="1"/>
  <c r="E45" i="103" s="1"/>
  <c r="G50" i="104"/>
  <c r="E53" i="104" s="1" a="1"/>
  <c r="E53" i="104" s="1"/>
  <c r="AD37" i="80" a="1"/>
  <c r="AD37" i="80" s="1"/>
  <c r="I168" i="100"/>
  <c r="K168" i="100" s="1" a="1"/>
  <c r="K168" i="100" s="1"/>
  <c r="I127" i="100"/>
  <c r="K127" i="100" s="1" a="1"/>
  <c r="K127" i="100" s="1"/>
  <c r="I144" i="100"/>
  <c r="K144" i="100" s="1" a="1"/>
  <c r="K144" i="100" s="1"/>
  <c r="I157" i="100"/>
  <c r="K157" i="100" s="1" a="1"/>
  <c r="K157" i="100" s="1"/>
  <c r="I138" i="100"/>
  <c r="K138" i="100" s="1" a="1"/>
  <c r="K138" i="100" s="1"/>
  <c r="I179" i="100"/>
  <c r="K179" i="100" s="1" a="1"/>
  <c r="K179" i="100" s="1"/>
  <c r="E46" i="96"/>
  <c r="E61" i="96"/>
  <c r="E44" i="96"/>
  <c r="E57" i="96"/>
  <c r="E52" i="97"/>
  <c r="AD36" i="80" a="1"/>
  <c r="AD36" i="80" s="1"/>
  <c r="G19" i="86" a="1"/>
  <c r="G19" i="86" s="1"/>
  <c r="E58" i="86" s="1" a="1"/>
  <c r="E58" i="86" s="1"/>
  <c r="E46" i="97"/>
  <c r="E49" i="97"/>
  <c r="E43" i="97"/>
  <c r="E43" i="96"/>
  <c r="E50" i="97"/>
  <c r="E44" i="97"/>
  <c r="E51" i="97"/>
  <c r="E45" i="97"/>
  <c r="E45" i="96"/>
  <c r="E77" i="90"/>
  <c r="J90" i="90" s="1"/>
  <c r="E56" i="96"/>
  <c r="E55" i="96"/>
  <c r="AE36" i="80" a="1"/>
  <c r="AE36" i="80" s="1"/>
  <c r="AE35" i="80" a="1"/>
  <c r="AE35" i="80" s="1"/>
  <c r="L98" i="81" a="1"/>
  <c r="L98" i="81" s="1"/>
  <c r="K98" i="81" a="1"/>
  <c r="K98" i="81" s="1"/>
  <c r="AB109" i="81" a="1"/>
  <c r="AB109" i="81" s="1"/>
  <c r="AA109" i="81" a="1"/>
  <c r="AA109" i="81" s="1"/>
  <c r="M31" i="80" a="1"/>
  <c r="M31" i="80" s="1"/>
  <c r="AC35" i="80" a="1"/>
  <c r="AC35" i="80" s="1"/>
  <c r="AA108" i="81" a="1"/>
  <c r="AA108" i="81" s="1"/>
  <c r="AB108" i="81" a="1"/>
  <c r="AB108" i="81" s="1"/>
  <c r="L31" i="80" a="1"/>
  <c r="L31" i="80" s="1"/>
  <c r="L33" i="80" a="1"/>
  <c r="L33" i="80" s="1"/>
  <c r="AC37" i="80" a="1"/>
  <c r="AC37" i="80" s="1"/>
  <c r="G19" i="85" a="1"/>
  <c r="G19" i="85" s="1"/>
  <c r="AB107" i="81" a="1"/>
  <c r="AB107" i="81" s="1"/>
  <c r="AC107" i="81" a="1"/>
  <c r="AC107" i="81" s="1"/>
  <c r="N33" i="80" a="1"/>
  <c r="N33" i="80" s="1"/>
  <c r="I87" i="80" l="1" a="1"/>
  <c r="I87" i="80" s="1"/>
  <c r="I134" i="80" s="1" a="1"/>
  <c r="I134" i="80" s="1"/>
  <c r="J184" i="80" s="1" a="1"/>
  <c r="J184" i="80" s="1"/>
  <c r="J242" i="80" s="1" a="1"/>
  <c r="J242" i="80" s="1"/>
  <c r="J66" i="77" a="1"/>
  <c r="J66" i="77" s="1"/>
  <c r="J87" i="77" s="1" a="1"/>
  <c r="J87" i="77" s="1"/>
  <c r="J125" i="77" s="1" a="1"/>
  <c r="J125" i="77" s="1"/>
  <c r="J87" i="80" a="1"/>
  <c r="J87" i="80" s="1"/>
  <c r="Y78" i="77" a="1"/>
  <c r="Y78" i="77" s="1"/>
  <c r="Y99" i="77" s="1" a="1"/>
  <c r="Y99" i="77" s="1"/>
  <c r="Y151" i="77" s="1" a="1"/>
  <c r="Y151" i="77" s="1"/>
  <c r="I84" i="80" a="1"/>
  <c r="I84" i="80" s="1"/>
  <c r="I131" i="80" s="1" a="1"/>
  <c r="I131" i="80" s="1"/>
  <c r="J177" i="80" s="1" a="1"/>
  <c r="J177" i="80" s="1"/>
  <c r="J235" i="80" s="1" a="1"/>
  <c r="J235" i="80" s="1"/>
  <c r="I85" i="80" a="1"/>
  <c r="I85" i="80" s="1"/>
  <c r="I132" i="80" s="1" a="1"/>
  <c r="I132" i="80" s="1"/>
  <c r="J178" i="80" s="1" a="1"/>
  <c r="J178" i="80" s="1"/>
  <c r="J236" i="80" s="1" a="1"/>
  <c r="J236" i="80" s="1"/>
  <c r="AA85" i="80" a="1"/>
  <c r="AA85" i="80" s="1"/>
  <c r="AA140" i="80" s="1" a="1"/>
  <c r="AA140" i="80" s="1"/>
  <c r="AB198" i="80" s="1" a="1"/>
  <c r="AB198" i="80" s="1"/>
  <c r="AB272" i="80" s="1" a="1"/>
  <c r="AB272" i="80" s="1"/>
  <c r="AA87" i="80" a="1"/>
  <c r="AA87" i="80" s="1"/>
  <c r="H87" i="80" a="1"/>
  <c r="H87" i="80" s="1"/>
  <c r="H134" i="80" s="1" a="1"/>
  <c r="H134" i="80" s="1"/>
  <c r="I184" i="80" s="1" a="1"/>
  <c r="I184" i="80" s="1"/>
  <c r="I242" i="80" s="1" a="1"/>
  <c r="I242" i="80" s="1"/>
  <c r="J84" i="80" a="1"/>
  <c r="J84" i="80" s="1"/>
  <c r="H85" i="80" a="1"/>
  <c r="H85" i="80" s="1"/>
  <c r="H132" i="80" s="1" a="1"/>
  <c r="H132" i="80" s="1"/>
  <c r="Y82" i="77" a="1"/>
  <c r="Y82" i="77" s="1"/>
  <c r="Y103" i="77" s="1" a="1"/>
  <c r="Y103" i="77" s="1"/>
  <c r="Y155" i="77" s="1" a="1"/>
  <c r="Y155" i="77" s="1"/>
  <c r="AB80" i="80" a="1"/>
  <c r="AB80" i="80" s="1"/>
  <c r="AB135" i="80" s="1" a="1"/>
  <c r="AB135" i="80" s="1"/>
  <c r="AC76" i="80" a="1"/>
  <c r="AC76" i="80" s="1"/>
  <c r="AC131" i="80" s="1" a="1"/>
  <c r="AC131" i="80" s="1"/>
  <c r="AD177" i="80" s="1" a="1"/>
  <c r="AD177" i="80" s="1"/>
  <c r="AD251" i="80" s="1" a="1"/>
  <c r="AD251" i="80" s="1"/>
  <c r="AA78" i="80" a="1"/>
  <c r="AA78" i="80" s="1"/>
  <c r="AA133" i="80" s="1" a="1"/>
  <c r="AA133" i="80" s="1"/>
  <c r="AC199" i="80" a="1"/>
  <c r="AC199" i="80" s="1"/>
  <c r="AC273" i="80" s="1" a="1"/>
  <c r="AC273" i="80" s="1"/>
  <c r="AC187" i="80" a="1"/>
  <c r="AC187" i="80" s="1"/>
  <c r="AC261" i="80" s="1" a="1"/>
  <c r="AC261" i="80" s="1"/>
  <c r="E60" i="85" a="1"/>
  <c r="E60" i="85" s="1"/>
  <c r="E19" i="89"/>
  <c r="H19" i="89" s="1" a="1"/>
  <c r="H19" i="89" s="1"/>
  <c r="E59" i="89" s="1"/>
  <c r="F59" i="89" s="1" a="1"/>
  <c r="F59" i="89" s="1"/>
  <c r="E23" i="90"/>
  <c r="F23" i="90" s="1" a="1"/>
  <c r="F23" i="90" s="1"/>
  <c r="AA139" i="80" a="1"/>
  <c r="AA139" i="80" s="1"/>
  <c r="F230" i="109" a="1"/>
  <c r="F230" i="109" s="1"/>
  <c r="G230" i="109" s="1" a="1"/>
  <c r="G230" i="109" s="1"/>
  <c r="F222" i="109" a="1"/>
  <c r="F222" i="109" s="1"/>
  <c r="G222" i="109" s="1" a="1"/>
  <c r="G222" i="109" s="1"/>
  <c r="E24" i="90"/>
  <c r="F24" i="90" s="1" a="1"/>
  <c r="F24" i="90" s="1"/>
  <c r="E20" i="89"/>
  <c r="H20" i="89" s="1" a="1"/>
  <c r="H20" i="89" s="1"/>
  <c r="E60" i="89" s="1"/>
  <c r="F60" i="89" s="1" a="1"/>
  <c r="F60" i="89" s="1"/>
  <c r="E61" i="85" a="1"/>
  <c r="E61" i="85" s="1"/>
  <c r="E67" i="85" a="1"/>
  <c r="E67" i="85" s="1"/>
  <c r="E30" i="90"/>
  <c r="F30" i="90" s="1" a="1"/>
  <c r="F30" i="90" s="1"/>
  <c r="E26" i="89"/>
  <c r="H26" i="89" s="1" a="1"/>
  <c r="H26" i="89" s="1"/>
  <c r="E66" i="89" s="1"/>
  <c r="F66" i="89" s="1" a="1"/>
  <c r="F66" i="89" s="1"/>
  <c r="E28" i="90"/>
  <c r="F28" i="90" s="1" a="1"/>
  <c r="F28" i="90" s="1"/>
  <c r="E24" i="89"/>
  <c r="H24" i="89" s="1" a="1"/>
  <c r="H24" i="89" s="1"/>
  <c r="E64" i="89" s="1"/>
  <c r="F64" i="89" s="1" a="1"/>
  <c r="F64" i="89" s="1"/>
  <c r="E65" i="85" a="1"/>
  <c r="E65" i="85" s="1"/>
  <c r="AA85" i="77" a="1"/>
  <c r="AA85" i="77" s="1"/>
  <c r="AA106" i="77" s="1" a="1"/>
  <c r="AA106" i="77" s="1"/>
  <c r="AA158" i="77" s="1" a="1"/>
  <c r="AA158" i="77" s="1"/>
  <c r="AA81" i="77" a="1"/>
  <c r="AA81" i="77" s="1"/>
  <c r="AA102" i="77" s="1" a="1"/>
  <c r="AA102" i="77" s="1"/>
  <c r="AA154" i="77" s="1" a="1"/>
  <c r="AA154" i="77" s="1"/>
  <c r="J86" i="80" a="1"/>
  <c r="J86" i="80" s="1"/>
  <c r="J133" i="80" s="1" a="1"/>
  <c r="J133" i="80" s="1"/>
  <c r="J85" i="80" a="1"/>
  <c r="J85" i="80" s="1"/>
  <c r="J132" i="80" s="1" a="1"/>
  <c r="J132" i="80" s="1"/>
  <c r="J131" i="80" a="1"/>
  <c r="J131" i="80" s="1"/>
  <c r="AA82" i="80" a="1"/>
  <c r="AA82" i="80" s="1"/>
  <c r="AA137" i="80" s="1" a="1"/>
  <c r="AA137" i="80" s="1"/>
  <c r="E73" i="85" a="1"/>
  <c r="E73" i="85" s="1"/>
  <c r="E36" i="90"/>
  <c r="F36" i="90" s="1" a="1"/>
  <c r="F36" i="90" s="1"/>
  <c r="E32" i="89"/>
  <c r="H32" i="89" s="1" a="1"/>
  <c r="H32" i="89" s="1"/>
  <c r="E72" i="89" s="1"/>
  <c r="F72" i="89" s="1" a="1"/>
  <c r="F72" i="89" s="1"/>
  <c r="E31" i="89"/>
  <c r="H31" i="89" s="1" a="1"/>
  <c r="H31" i="89" s="1"/>
  <c r="E71" i="89" s="1"/>
  <c r="F71" i="89" s="1" a="1"/>
  <c r="F71" i="89" s="1"/>
  <c r="E35" i="90"/>
  <c r="F35" i="90" s="1" a="1"/>
  <c r="F35" i="90" s="1"/>
  <c r="E72" i="85" a="1"/>
  <c r="E72" i="85" s="1"/>
  <c r="AB83" i="80" a="1"/>
  <c r="AB83" i="80" s="1"/>
  <c r="AB138" i="80" s="1" a="1"/>
  <c r="AB138" i="80" s="1"/>
  <c r="Y80" i="77" a="1"/>
  <c r="Y80" i="77" s="1"/>
  <c r="Y101" i="77" s="1" a="1"/>
  <c r="Y101" i="77" s="1"/>
  <c r="Y153" i="77" s="1" a="1"/>
  <c r="Y153" i="77" s="1"/>
  <c r="AA79" i="77" a="1"/>
  <c r="AA79" i="77" s="1"/>
  <c r="AA100" i="77" s="1" a="1"/>
  <c r="AA100" i="77" s="1"/>
  <c r="AA152" i="77" s="1" a="1"/>
  <c r="AA152" i="77" s="1"/>
  <c r="AA142" i="80" a="1"/>
  <c r="AA142" i="80" s="1"/>
  <c r="I65" i="77" a="1"/>
  <c r="I65" i="77" s="1"/>
  <c r="I86" i="77" s="1" a="1"/>
  <c r="I86" i="77" s="1"/>
  <c r="I124" i="77" s="1" a="1"/>
  <c r="I124" i="77" s="1"/>
  <c r="Z86" i="77" a="1"/>
  <c r="Z86" i="77" s="1"/>
  <c r="Z107" i="77" s="1" a="1"/>
  <c r="Z107" i="77" s="1"/>
  <c r="Z159" i="77" s="1" a="1"/>
  <c r="Z159" i="77" s="1"/>
  <c r="Y77" i="77" a="1"/>
  <c r="Y77" i="77" s="1"/>
  <c r="Y98" i="77" s="1" a="1"/>
  <c r="Y98" i="77" s="1"/>
  <c r="Y150" i="77" s="1" a="1"/>
  <c r="Y150" i="77" s="1"/>
  <c r="AA86" i="80" a="1"/>
  <c r="AA86" i="80" s="1"/>
  <c r="AA141" i="80" s="1" a="1"/>
  <c r="AA141" i="80" s="1"/>
  <c r="AA86" i="77" a="1"/>
  <c r="AA86" i="77" s="1"/>
  <c r="AA107" i="77" s="1" a="1"/>
  <c r="AA107" i="77" s="1"/>
  <c r="AA159" i="77" s="1" a="1"/>
  <c r="AA159" i="77" s="1"/>
  <c r="O45" i="85"/>
  <c r="W46" i="85"/>
  <c r="R49" i="85" a="1"/>
  <c r="R49" i="85" s="1"/>
  <c r="R46" i="85" a="1"/>
  <c r="R46" i="85" s="1"/>
  <c r="V48" i="85" a="1"/>
  <c r="V48" i="85" s="1"/>
  <c r="Q49" i="85"/>
  <c r="Q47" i="85"/>
  <c r="T48" i="85"/>
  <c r="U48" i="85" s="1"/>
  <c r="W47" i="85"/>
  <c r="V47" i="85" a="1"/>
  <c r="V47" i="85" s="1"/>
  <c r="T46" i="85"/>
  <c r="U46" i="85" s="1"/>
  <c r="S47" i="85" a="1"/>
  <c r="S47" i="85" s="1"/>
  <c r="R47" i="85" a="1"/>
  <c r="R47" i="85" s="1"/>
  <c r="T49" i="85"/>
  <c r="U49" i="85" s="1"/>
  <c r="S48" i="85" a="1"/>
  <c r="S48" i="85" s="1"/>
  <c r="V46" i="85" a="1"/>
  <c r="V46" i="85" s="1"/>
  <c r="S49" i="85" a="1"/>
  <c r="S49" i="85" s="1"/>
  <c r="R48" i="85" a="1"/>
  <c r="R48" i="85" s="1"/>
  <c r="W49" i="85"/>
  <c r="Q48" i="85"/>
  <c r="W48" i="85"/>
  <c r="O80" i="85" s="1" a="1"/>
  <c r="O80" i="85" s="1"/>
  <c r="P80" i="85" s="1" a="1"/>
  <c r="P80" i="85" s="1"/>
  <c r="S46" i="85" a="1"/>
  <c r="S46" i="85" s="1"/>
  <c r="T47" i="85"/>
  <c r="U47" i="85" s="1"/>
  <c r="V49" i="85" a="1"/>
  <c r="V49" i="85" s="1"/>
  <c r="Q46" i="85"/>
  <c r="E33" i="89"/>
  <c r="H33" i="89" s="1" a="1"/>
  <c r="H33" i="89" s="1"/>
  <c r="E73" i="89" s="1"/>
  <c r="F73" i="89" s="1" a="1"/>
  <c r="F73" i="89" s="1"/>
  <c r="E37" i="90"/>
  <c r="F37" i="90" s="1" a="1"/>
  <c r="F37" i="90" s="1"/>
  <c r="E74" i="85" a="1"/>
  <c r="E74" i="85" s="1"/>
  <c r="E27" i="89"/>
  <c r="H27" i="89" s="1" a="1"/>
  <c r="H27" i="89" s="1"/>
  <c r="E67" i="89" s="1"/>
  <c r="F67" i="89" s="1" a="1"/>
  <c r="F67" i="89" s="1"/>
  <c r="E31" i="90"/>
  <c r="F31" i="90" s="1" a="1"/>
  <c r="F31" i="90" s="1"/>
  <c r="E68" i="85" a="1"/>
  <c r="E68" i="85" s="1"/>
  <c r="M573" i="109" a="1"/>
  <c r="M573" i="109" s="1"/>
  <c r="O575" i="109" s="1"/>
  <c r="M578" i="109" s="1" a="1"/>
  <c r="M578" i="109" s="1"/>
  <c r="I270" i="109" a="1"/>
  <c r="I270" i="109" s="1"/>
  <c r="E284" i="109" s="1"/>
  <c r="G270" i="109" a="1"/>
  <c r="G270" i="109" s="1"/>
  <c r="E283" i="109" s="1"/>
  <c r="E21" i="89"/>
  <c r="H21" i="89" s="1" a="1"/>
  <c r="H21" i="89" s="1"/>
  <c r="E61" i="89" s="1"/>
  <c r="F61" i="89" s="1" a="1"/>
  <c r="F61" i="89" s="1"/>
  <c r="E25" i="90"/>
  <c r="F25" i="90" s="1" a="1"/>
  <c r="F25" i="90" s="1"/>
  <c r="E62" i="85" a="1"/>
  <c r="E62" i="85" s="1"/>
  <c r="AA77" i="80" a="1"/>
  <c r="AA77" i="80" s="1"/>
  <c r="AA132" i="80" s="1" a="1"/>
  <c r="AA132" i="80" s="1"/>
  <c r="E19" i="110" a="1"/>
  <c r="E19" i="110" s="1"/>
  <c r="J569" i="109" s="1"/>
  <c r="E573" i="109" s="1" a="1"/>
  <c r="E573" i="109" s="1"/>
  <c r="G575" i="109" s="1"/>
  <c r="E578" i="109" s="1" a="1"/>
  <c r="E578" i="109" s="1"/>
  <c r="O19" i="110" a="1"/>
  <c r="O19" i="110" s="1"/>
  <c r="R569" i="109" s="1"/>
  <c r="E69" i="85" a="1"/>
  <c r="E69" i="85" s="1"/>
  <c r="E28" i="89"/>
  <c r="H28" i="89" s="1" a="1"/>
  <c r="H28" i="89" s="1"/>
  <c r="E68" i="89" s="1"/>
  <c r="F68" i="89" s="1" a="1"/>
  <c r="F68" i="89" s="1"/>
  <c r="E32" i="90"/>
  <c r="F32" i="90" s="1" a="1"/>
  <c r="F32" i="90" s="1"/>
  <c r="Y79" i="77" a="1"/>
  <c r="Y79" i="77" s="1"/>
  <c r="Y100" i="77" s="1" a="1"/>
  <c r="Y100" i="77" s="1"/>
  <c r="Y152" i="77" s="1" a="1"/>
  <c r="Y152" i="77" s="1"/>
  <c r="Z77" i="77" a="1"/>
  <c r="Z77" i="77" s="1"/>
  <c r="Z98" i="77" s="1" a="1"/>
  <c r="Z98" i="77" s="1"/>
  <c r="Z150" i="77" s="1" a="1"/>
  <c r="Z150" i="77" s="1"/>
  <c r="O85" i="85" a="1"/>
  <c r="O85" i="85" s="1"/>
  <c r="P85" i="85" s="1" a="1"/>
  <c r="P85" i="85" s="1"/>
  <c r="O86" i="85" a="1"/>
  <c r="O86" i="85" s="1"/>
  <c r="P86" i="85" s="1" a="1"/>
  <c r="P86" i="85" s="1"/>
  <c r="O84" i="85" a="1"/>
  <c r="O84" i="85" s="1"/>
  <c r="P84" i="85" s="1" a="1"/>
  <c r="P84" i="85" s="1"/>
  <c r="O79" i="85" a="1"/>
  <c r="O79" i="85" s="1"/>
  <c r="O81" i="85" a="1"/>
  <c r="O81" i="85" s="1"/>
  <c r="P81" i="85" s="1" a="1"/>
  <c r="P81" i="85" s="1"/>
  <c r="O83" i="85" a="1"/>
  <c r="O83" i="85" s="1"/>
  <c r="P83" i="85" s="1" a="1"/>
  <c r="P83" i="85" s="1"/>
  <c r="O78" i="85" a="1"/>
  <c r="O78" i="85" s="1"/>
  <c r="P78" i="85" s="1" a="1"/>
  <c r="P78" i="85" s="1"/>
  <c r="O82" i="85" a="1"/>
  <c r="O82" i="85" s="1"/>
  <c r="P82" i="85" s="1" a="1"/>
  <c r="P82" i="85" s="1"/>
  <c r="Y76" i="77" a="1"/>
  <c r="Y76" i="77" s="1"/>
  <c r="Y97" i="77" s="1" a="1"/>
  <c r="Y97" i="77" s="1"/>
  <c r="Y149" i="77" s="1" a="1"/>
  <c r="Y149" i="77" s="1"/>
  <c r="F221" i="109" a="1"/>
  <c r="F221" i="109" s="1"/>
  <c r="F223" i="109" a="1"/>
  <c r="F223" i="109" s="1"/>
  <c r="G223" i="109" s="1" a="1"/>
  <c r="G223" i="109" s="1"/>
  <c r="E75" i="85" a="1"/>
  <c r="E75" i="85" s="1"/>
  <c r="E34" i="89"/>
  <c r="H34" i="89" s="1" a="1"/>
  <c r="H34" i="89" s="1"/>
  <c r="E74" i="89" s="1"/>
  <c r="F74" i="89" s="1" a="1"/>
  <c r="F74" i="89" s="1"/>
  <c r="E38" i="90"/>
  <c r="F38" i="90" s="1" a="1"/>
  <c r="F38" i="90" s="1"/>
  <c r="E39" i="90"/>
  <c r="F39" i="90" s="1" a="1"/>
  <c r="F39" i="90" s="1"/>
  <c r="E35" i="89"/>
  <c r="H35" i="89" s="1" a="1"/>
  <c r="H35" i="89" s="1"/>
  <c r="E75" i="89" s="1"/>
  <c r="F75" i="89" s="1" a="1"/>
  <c r="F75" i="89" s="1"/>
  <c r="E76" i="85" a="1"/>
  <c r="E76" i="85" s="1"/>
  <c r="F140" i="89" a="1"/>
  <c r="F140" i="89" s="1"/>
  <c r="F139" i="89" a="1"/>
  <c r="F139" i="89" s="1"/>
  <c r="F141" i="89" a="1"/>
  <c r="F141" i="89" s="1"/>
  <c r="F137" i="89" a="1"/>
  <c r="F137" i="89" s="1"/>
  <c r="F138" i="89" a="1"/>
  <c r="F138" i="89" s="1"/>
  <c r="F142" i="89" a="1"/>
  <c r="F142" i="89" s="1"/>
  <c r="F143" i="89" a="1"/>
  <c r="F143" i="89" s="1"/>
  <c r="Z78" i="77" a="1"/>
  <c r="Z78" i="77" s="1"/>
  <c r="Z99" i="77" s="1" a="1"/>
  <c r="Z99" i="77" s="1"/>
  <c r="Z151" i="77" s="1" a="1"/>
  <c r="Z151" i="77" s="1"/>
  <c r="Y85" i="77" a="1"/>
  <c r="Y85" i="77" s="1"/>
  <c r="Y106" i="77" s="1" a="1"/>
  <c r="Y106" i="77" s="1"/>
  <c r="Y158" i="77" s="1" a="1"/>
  <c r="Y158" i="77" s="1"/>
  <c r="E33" i="90"/>
  <c r="F33" i="90" s="1" a="1"/>
  <c r="F33" i="90" s="1"/>
  <c r="E29" i="89"/>
  <c r="H29" i="89" s="1" a="1"/>
  <c r="H29" i="89" s="1"/>
  <c r="E69" i="89" s="1"/>
  <c r="F69" i="89" s="1" a="1"/>
  <c r="F69" i="89" s="1"/>
  <c r="E70" i="85" a="1"/>
  <c r="E70" i="85" s="1"/>
  <c r="I86" i="80" a="1"/>
  <c r="I86" i="80" s="1"/>
  <c r="I133" i="80" s="1" a="1"/>
  <c r="I133" i="80" s="1"/>
  <c r="J65" i="77" a="1"/>
  <c r="J65" i="77" s="1"/>
  <c r="J86" i="77" s="1" a="1"/>
  <c r="J86" i="77" s="1"/>
  <c r="J124" i="77" s="1" a="1"/>
  <c r="J124" i="77" s="1"/>
  <c r="E70" i="96"/>
  <c r="I515" i="109" s="1"/>
  <c r="E23" i="89"/>
  <c r="H23" i="89" s="1" a="1"/>
  <c r="H23" i="89" s="1"/>
  <c r="E63" i="89" s="1"/>
  <c r="F63" i="89" s="1" a="1"/>
  <c r="F63" i="89" s="1"/>
  <c r="E27" i="90"/>
  <c r="F27" i="90" s="1" a="1"/>
  <c r="F27" i="90" s="1"/>
  <c r="E64" i="85" a="1"/>
  <c r="E64" i="85" s="1"/>
  <c r="AA76" i="80" a="1"/>
  <c r="AA76" i="80" s="1"/>
  <c r="AA131" i="80" s="1" a="1"/>
  <c r="AA131" i="80" s="1"/>
  <c r="AD77" i="80" a="1"/>
  <c r="AD77" i="80" s="1"/>
  <c r="AD132" i="80" s="1" a="1"/>
  <c r="AD132" i="80" s="1"/>
  <c r="AF81" i="80" a="1"/>
  <c r="AF81" i="80" s="1"/>
  <c r="AF136" i="80" s="1" a="1"/>
  <c r="AF136" i="80" s="1"/>
  <c r="AG76" i="80" a="1"/>
  <c r="AG76" i="80" s="1"/>
  <c r="AG131" i="80" s="1" a="1"/>
  <c r="AG131" i="80" s="1"/>
  <c r="Z81" i="80" a="1"/>
  <c r="Z81" i="80" s="1"/>
  <c r="Z136" i="80" s="1" a="1"/>
  <c r="Z136" i="80" s="1"/>
  <c r="X80" i="80" a="1"/>
  <c r="X80" i="80" s="1"/>
  <c r="X135" i="80" s="1" a="1"/>
  <c r="X135" i="80" s="1"/>
  <c r="AE79" i="80" a="1"/>
  <c r="AE79" i="80" s="1"/>
  <c r="AE134" i="80" s="1" a="1"/>
  <c r="AE134" i="80" s="1"/>
  <c r="Z80" i="80" a="1"/>
  <c r="Z80" i="80" s="1"/>
  <c r="Z135" i="80" s="1" a="1"/>
  <c r="Z135" i="80" s="1"/>
  <c r="AD81" i="80" a="1"/>
  <c r="AD81" i="80" s="1"/>
  <c r="AD136" i="80" s="1" a="1"/>
  <c r="AD136" i="80" s="1"/>
  <c r="Y83" i="80" a="1"/>
  <c r="Y83" i="80" s="1"/>
  <c r="Y138" i="80" s="1" a="1"/>
  <c r="Y138" i="80" s="1"/>
  <c r="X82" i="80" a="1"/>
  <c r="X82" i="80" s="1"/>
  <c r="X137" i="80" s="1" a="1"/>
  <c r="X137" i="80" s="1"/>
  <c r="AF85" i="80" a="1"/>
  <c r="AF85" i="80" s="1"/>
  <c r="AF140" i="80" s="1" a="1"/>
  <c r="AF140" i="80" s="1"/>
  <c r="AG83" i="80" a="1"/>
  <c r="AG83" i="80" s="1"/>
  <c r="AG138" i="80" s="1" a="1"/>
  <c r="AG138" i="80" s="1"/>
  <c r="Y76" i="80" a="1"/>
  <c r="Y76" i="80" s="1"/>
  <c r="Y131" i="80" s="1" a="1"/>
  <c r="Y131" i="80" s="1"/>
  <c r="X86" i="80" a="1"/>
  <c r="X86" i="80" s="1"/>
  <c r="X141" i="80" s="1" a="1"/>
  <c r="X141" i="80" s="1"/>
  <c r="AF77" i="80" a="1"/>
  <c r="AF77" i="80" s="1"/>
  <c r="AF132" i="80" s="1" a="1"/>
  <c r="AF132" i="80" s="1"/>
  <c r="AF84" i="80" a="1"/>
  <c r="AF84" i="80" s="1"/>
  <c r="AF139" i="80" s="1" a="1"/>
  <c r="AF139" i="80" s="1"/>
  <c r="AF82" i="80" a="1"/>
  <c r="AF82" i="80" s="1"/>
  <c r="AF137" i="80" s="1" a="1"/>
  <c r="AF137" i="80" s="1"/>
  <c r="AG86" i="80" a="1"/>
  <c r="AG86" i="80" s="1"/>
  <c r="AG141" i="80" s="1" a="1"/>
  <c r="AG141" i="80" s="1"/>
  <c r="Z85" i="80" a="1"/>
  <c r="Z85" i="80" s="1"/>
  <c r="Z140" i="80" s="1" a="1"/>
  <c r="Z140" i="80" s="1"/>
  <c r="AD85" i="80" a="1"/>
  <c r="AD85" i="80" s="1"/>
  <c r="AD140" i="80" s="1" a="1"/>
  <c r="AD140" i="80" s="1"/>
  <c r="AG79" i="80" a="1"/>
  <c r="AG79" i="80" s="1"/>
  <c r="AG134" i="80" s="1" a="1"/>
  <c r="AG134" i="80" s="1"/>
  <c r="Y84" i="80" a="1"/>
  <c r="Y84" i="80" s="1"/>
  <c r="Y139" i="80" s="1" a="1"/>
  <c r="Y139" i="80" s="1"/>
  <c r="Y78" i="80" a="1"/>
  <c r="Y78" i="80" s="1"/>
  <c r="Y133" i="80" s="1" a="1"/>
  <c r="Y133" i="80" s="1"/>
  <c r="AF83" i="80" a="1"/>
  <c r="AF83" i="80" s="1"/>
  <c r="AF138" i="80" s="1" a="1"/>
  <c r="AF138" i="80" s="1"/>
  <c r="AF87" i="80" a="1"/>
  <c r="AF87" i="80" s="1"/>
  <c r="AF142" i="80" s="1" a="1"/>
  <c r="AF142" i="80" s="1"/>
  <c r="AE83" i="80" a="1"/>
  <c r="AE83" i="80" s="1"/>
  <c r="AE138" i="80" s="1" a="1"/>
  <c r="AE138" i="80" s="1"/>
  <c r="AG81" i="80" a="1"/>
  <c r="AG81" i="80" s="1"/>
  <c r="AG136" i="80" s="1" a="1"/>
  <c r="AG136" i="80" s="1"/>
  <c r="Y87" i="80" a="1"/>
  <c r="Y87" i="80" s="1"/>
  <c r="Y142" i="80" s="1" a="1"/>
  <c r="Y142" i="80" s="1"/>
  <c r="AF86" i="80" a="1"/>
  <c r="AF86" i="80" s="1"/>
  <c r="AF141" i="80" s="1" a="1"/>
  <c r="AF141" i="80" s="1"/>
  <c r="Z78" i="80" a="1"/>
  <c r="Z78" i="80" s="1"/>
  <c r="Z133" i="80" s="1" a="1"/>
  <c r="Z133" i="80" s="1"/>
  <c r="X83" i="80" a="1"/>
  <c r="X83" i="80" s="1"/>
  <c r="X138" i="80" s="1" a="1"/>
  <c r="X138" i="80" s="1"/>
  <c r="AD82" i="80" a="1"/>
  <c r="AD82" i="80" s="1"/>
  <c r="AD137" i="80" s="1" a="1"/>
  <c r="AD137" i="80" s="1"/>
  <c r="AD76" i="80" a="1"/>
  <c r="AD76" i="80" s="1"/>
  <c r="AD131" i="80" s="1" a="1"/>
  <c r="AD131" i="80" s="1"/>
  <c r="AD86" i="80" a="1"/>
  <c r="AD86" i="80" s="1"/>
  <c r="AD141" i="80" s="1" a="1"/>
  <c r="AD141" i="80" s="1"/>
  <c r="AF78" i="80" a="1"/>
  <c r="AF78" i="80" s="1"/>
  <c r="AF133" i="80" s="1" a="1"/>
  <c r="AF133" i="80" s="1"/>
  <c r="AE77" i="80" a="1"/>
  <c r="AE77" i="80" s="1"/>
  <c r="AE132" i="80" s="1" a="1"/>
  <c r="AE132" i="80" s="1"/>
  <c r="X44" i="80"/>
  <c r="X76" i="80" s="1" a="1"/>
  <c r="X76" i="80" s="1"/>
  <c r="X131" i="80" s="1" a="1"/>
  <c r="X131" i="80" s="1"/>
  <c r="AD84" i="80" a="1"/>
  <c r="AD84" i="80" s="1"/>
  <c r="AD139" i="80" s="1" a="1"/>
  <c r="AD139" i="80" s="1"/>
  <c r="Z86" i="80" a="1"/>
  <c r="Z86" i="80" s="1"/>
  <c r="Z141" i="80" s="1" a="1"/>
  <c r="Z141" i="80" s="1"/>
  <c r="AE80" i="80" a="1"/>
  <c r="AE80" i="80" s="1"/>
  <c r="AE135" i="80" s="1" a="1"/>
  <c r="AE135" i="80" s="1"/>
  <c r="Y80" i="80" a="1"/>
  <c r="Y80" i="80" s="1"/>
  <c r="Y135" i="80" s="1" a="1"/>
  <c r="Y135" i="80" s="1"/>
  <c r="AG80" i="80" a="1"/>
  <c r="AG80" i="80" s="1"/>
  <c r="AG135" i="80" s="1" a="1"/>
  <c r="AG135" i="80" s="1"/>
  <c r="Z76" i="80" a="1"/>
  <c r="Z76" i="80" s="1"/>
  <c r="Z131" i="80" s="1" a="1"/>
  <c r="Z131" i="80" s="1"/>
  <c r="X77" i="80" a="1"/>
  <c r="X77" i="80" s="1"/>
  <c r="X132" i="80" s="1" a="1"/>
  <c r="X132" i="80" s="1"/>
  <c r="AG84" i="80" a="1"/>
  <c r="AG84" i="80" s="1"/>
  <c r="AG139" i="80" s="1" a="1"/>
  <c r="AG139" i="80" s="1"/>
  <c r="Y82" i="80" a="1"/>
  <c r="Y82" i="80" s="1"/>
  <c r="Y137" i="80" s="1" a="1"/>
  <c r="Y137" i="80" s="1"/>
  <c r="AD87" i="80" a="1"/>
  <c r="AD87" i="80" s="1"/>
  <c r="AD142" i="80" s="1" a="1"/>
  <c r="AD142" i="80" s="1"/>
  <c r="X79" i="80" a="1"/>
  <c r="X79" i="80" s="1"/>
  <c r="X134" i="80" s="1" a="1"/>
  <c r="X134" i="80" s="1"/>
  <c r="Y79" i="80" a="1"/>
  <c r="Y79" i="80" s="1"/>
  <c r="Y134" i="80" s="1" a="1"/>
  <c r="Y134" i="80" s="1"/>
  <c r="Z77" i="80" a="1"/>
  <c r="Z77" i="80" s="1"/>
  <c r="Z132" i="80" s="1" a="1"/>
  <c r="Z132" i="80" s="1"/>
  <c r="AG82" i="80" a="1"/>
  <c r="AG82" i="80" s="1"/>
  <c r="AG137" i="80" s="1" a="1"/>
  <c r="AG137" i="80" s="1"/>
  <c r="AE81" i="80" a="1"/>
  <c r="AE81" i="80" s="1"/>
  <c r="AE136" i="80" s="1" a="1"/>
  <c r="AE136" i="80" s="1"/>
  <c r="Z82" i="80" a="1"/>
  <c r="Z82" i="80" s="1"/>
  <c r="Z137" i="80" s="1" a="1"/>
  <c r="Z137" i="80" s="1"/>
  <c r="Y81" i="80" a="1"/>
  <c r="Y81" i="80" s="1"/>
  <c r="Y136" i="80" s="1" a="1"/>
  <c r="Y136" i="80" s="1"/>
  <c r="AD78" i="80" a="1"/>
  <c r="AD78" i="80" s="1"/>
  <c r="AD133" i="80" s="1" a="1"/>
  <c r="AD133" i="80" s="1"/>
  <c r="AE85" i="80" a="1"/>
  <c r="AE85" i="80" s="1"/>
  <c r="AE140" i="80" s="1" a="1"/>
  <c r="AE140" i="80" s="1"/>
  <c r="AE76" i="80" a="1"/>
  <c r="AE76" i="80" s="1"/>
  <c r="AE131" i="80" s="1" a="1"/>
  <c r="AE131" i="80" s="1"/>
  <c r="Z84" i="80" a="1"/>
  <c r="Z84" i="80" s="1"/>
  <c r="Z139" i="80" s="1" a="1"/>
  <c r="Z139" i="80" s="1"/>
  <c r="AF79" i="80" a="1"/>
  <c r="AF79" i="80" s="1"/>
  <c r="AF134" i="80" s="1" a="1"/>
  <c r="AF134" i="80" s="1"/>
  <c r="Y85" i="80" a="1"/>
  <c r="Y85" i="80" s="1"/>
  <c r="Y140" i="80" s="1" a="1"/>
  <c r="Y140" i="80" s="1"/>
  <c r="AG85" i="80" a="1"/>
  <c r="AG85" i="80" s="1"/>
  <c r="AG140" i="80" s="1" a="1"/>
  <c r="AG140" i="80" s="1"/>
  <c r="AE84" i="80" a="1"/>
  <c r="AE84" i="80" s="1"/>
  <c r="AE139" i="80" s="1" a="1"/>
  <c r="AE139" i="80" s="1"/>
  <c r="Y77" i="80" a="1"/>
  <c r="Y77" i="80" s="1"/>
  <c r="Y132" i="80" s="1" a="1"/>
  <c r="Y132" i="80" s="1"/>
  <c r="AE82" i="80" a="1"/>
  <c r="AE82" i="80" s="1"/>
  <c r="AE137" i="80" s="1" a="1"/>
  <c r="AE137" i="80" s="1"/>
  <c r="Z87" i="80" a="1"/>
  <c r="Z87" i="80" s="1"/>
  <c r="Z142" i="80" s="1" a="1"/>
  <c r="Z142" i="80" s="1"/>
  <c r="X78" i="80" a="1"/>
  <c r="X78" i="80" s="1"/>
  <c r="X133" i="80" s="1" a="1"/>
  <c r="X133" i="80" s="1"/>
  <c r="AE87" i="80" a="1"/>
  <c r="AE87" i="80" s="1"/>
  <c r="AE142" i="80" s="1" a="1"/>
  <c r="AE142" i="80" s="1"/>
  <c r="AF76" i="80" a="1"/>
  <c r="AF76" i="80" s="1"/>
  <c r="AF131" i="80" s="1" a="1"/>
  <c r="AF131" i="80" s="1"/>
  <c r="AG77" i="80" a="1"/>
  <c r="AG77" i="80" s="1"/>
  <c r="AG132" i="80" s="1" a="1"/>
  <c r="AG132" i="80" s="1"/>
  <c r="X84" i="80" a="1"/>
  <c r="X84" i="80" s="1"/>
  <c r="X139" i="80" s="1" a="1"/>
  <c r="X139" i="80" s="1"/>
  <c r="AF80" i="80" a="1"/>
  <c r="AF80" i="80" s="1"/>
  <c r="AF135" i="80" s="1" a="1"/>
  <c r="AF135" i="80" s="1"/>
  <c r="Z83" i="80" a="1"/>
  <c r="Z83" i="80" s="1"/>
  <c r="Z138" i="80" s="1" a="1"/>
  <c r="Z138" i="80" s="1"/>
  <c r="X85" i="80" a="1"/>
  <c r="X85" i="80" s="1"/>
  <c r="X140" i="80" s="1" a="1"/>
  <c r="X140" i="80" s="1"/>
  <c r="AD79" i="80" a="1"/>
  <c r="AD79" i="80" s="1"/>
  <c r="AD134" i="80" s="1" a="1"/>
  <c r="AD134" i="80" s="1"/>
  <c r="X87" i="80" a="1"/>
  <c r="X87" i="80" s="1"/>
  <c r="X142" i="80" s="1" a="1"/>
  <c r="X142" i="80" s="1"/>
  <c r="Z79" i="80" a="1"/>
  <c r="Z79" i="80" s="1"/>
  <c r="Z134" i="80" s="1" a="1"/>
  <c r="Z134" i="80" s="1"/>
  <c r="AB81" i="80" a="1"/>
  <c r="AB81" i="80" s="1"/>
  <c r="AB136" i="80" s="1" a="1"/>
  <c r="AB136" i="80" s="1"/>
  <c r="AE86" i="80" a="1"/>
  <c r="AE86" i="80" s="1"/>
  <c r="AE141" i="80" s="1" a="1"/>
  <c r="AE141" i="80" s="1"/>
  <c r="Y86" i="80" a="1"/>
  <c r="Y86" i="80" s="1"/>
  <c r="Y141" i="80" s="1" a="1"/>
  <c r="Y141" i="80" s="1"/>
  <c r="AG78" i="80" a="1"/>
  <c r="AG78" i="80" s="1"/>
  <c r="AG133" i="80" s="1" a="1"/>
  <c r="AG133" i="80" s="1"/>
  <c r="X81" i="80" a="1"/>
  <c r="X81" i="80" s="1"/>
  <c r="X136" i="80" s="1" a="1"/>
  <c r="X136" i="80" s="1"/>
  <c r="AG87" i="80" a="1"/>
  <c r="AG87" i="80" s="1"/>
  <c r="AG142" i="80" s="1" a="1"/>
  <c r="AG142" i="80" s="1"/>
  <c r="AD80" i="80" a="1"/>
  <c r="AD80" i="80" s="1"/>
  <c r="AD135" i="80" s="1" a="1"/>
  <c r="AD135" i="80" s="1"/>
  <c r="AE78" i="80" a="1"/>
  <c r="AE78" i="80" s="1"/>
  <c r="AE133" i="80" s="1" a="1"/>
  <c r="AE133" i="80" s="1"/>
  <c r="AD83" i="80" a="1"/>
  <c r="AD83" i="80" s="1"/>
  <c r="AD138" i="80" s="1" a="1"/>
  <c r="AD138" i="80" s="1"/>
  <c r="AB79" i="80" a="1"/>
  <c r="AB79" i="80" s="1"/>
  <c r="AB134" i="80" s="1" a="1"/>
  <c r="AB134" i="80" s="1"/>
  <c r="AA81" i="80" a="1"/>
  <c r="AA81" i="80" s="1"/>
  <c r="AA136" i="80" s="1" a="1"/>
  <c r="AA136" i="80" s="1"/>
  <c r="AC79" i="80" a="1"/>
  <c r="AC79" i="80" s="1"/>
  <c r="AC134" i="80" s="1" a="1"/>
  <c r="AC134" i="80" s="1"/>
  <c r="AC82" i="80" a="1"/>
  <c r="AC82" i="80" s="1"/>
  <c r="AC137" i="80" s="1" a="1"/>
  <c r="AC137" i="80" s="1"/>
  <c r="AB82" i="80" a="1"/>
  <c r="AB82" i="80" s="1"/>
  <c r="AB137" i="80" s="1" a="1"/>
  <c r="AB137" i="80" s="1"/>
  <c r="AC78" i="80" a="1"/>
  <c r="AC78" i="80" s="1"/>
  <c r="AC133" i="80" s="1" a="1"/>
  <c r="AC133" i="80" s="1"/>
  <c r="AA79" i="80" a="1"/>
  <c r="AA79" i="80" s="1"/>
  <c r="AA134" i="80" s="1" a="1"/>
  <c r="AA134" i="80" s="1"/>
  <c r="AB87" i="80" a="1"/>
  <c r="AB87" i="80" s="1"/>
  <c r="AB142" i="80" s="1" a="1"/>
  <c r="AB142" i="80" s="1"/>
  <c r="AC83" i="80" a="1"/>
  <c r="AC83" i="80" s="1"/>
  <c r="AC138" i="80" s="1" a="1"/>
  <c r="AC138" i="80" s="1"/>
  <c r="AD184" i="80" s="1" a="1"/>
  <c r="AD184" i="80" s="1"/>
  <c r="AD258" i="80" s="1" a="1"/>
  <c r="AD258" i="80" s="1"/>
  <c r="E40" i="90"/>
  <c r="F40" i="90" s="1" a="1"/>
  <c r="F40" i="90" s="1"/>
  <c r="E36" i="89"/>
  <c r="H36" i="89" s="1" a="1"/>
  <c r="H36" i="89" s="1"/>
  <c r="E76" i="89" s="1"/>
  <c r="F76" i="89" s="1" a="1"/>
  <c r="F76" i="89" s="1"/>
  <c r="E77" i="85" a="1"/>
  <c r="E77" i="85" s="1"/>
  <c r="AA80" i="80" a="1"/>
  <c r="AA80" i="80" s="1"/>
  <c r="AA135" i="80" s="1" a="1"/>
  <c r="AA135" i="80" s="1"/>
  <c r="E31" i="88"/>
  <c r="E15" i="13" s="1" a="1"/>
  <c r="E15" i="13" s="1"/>
  <c r="V79" i="77" a="1"/>
  <c r="V79" i="77" s="1"/>
  <c r="V100" i="77" s="1" a="1"/>
  <c r="V100" i="77" s="1"/>
  <c r="V152" i="77" s="1" a="1"/>
  <c r="V152" i="77" s="1"/>
  <c r="W76" i="77" a="1"/>
  <c r="W76" i="77" s="1"/>
  <c r="W97" i="77" s="1" a="1"/>
  <c r="W97" i="77" s="1"/>
  <c r="W149" i="77" s="1" a="1"/>
  <c r="W149" i="77" s="1"/>
  <c r="W83" i="77" a="1"/>
  <c r="W83" i="77" s="1"/>
  <c r="W104" i="77" s="1" a="1"/>
  <c r="W104" i="77" s="1"/>
  <c r="W156" i="77" s="1" a="1"/>
  <c r="W156" i="77" s="1"/>
  <c r="X85" i="77" a="1"/>
  <c r="X85" i="77" s="1"/>
  <c r="X106" i="77" s="1" a="1"/>
  <c r="X106" i="77" s="1"/>
  <c r="X158" i="77" s="1" a="1"/>
  <c r="X158" i="77" s="1"/>
  <c r="AE82" i="77" a="1"/>
  <c r="AE82" i="77" s="1"/>
  <c r="AE103" i="77" s="1" a="1"/>
  <c r="AE103" i="77" s="1"/>
  <c r="AE155" i="77" s="1" a="1"/>
  <c r="AE155" i="77" s="1"/>
  <c r="AE76" i="77" a="1"/>
  <c r="AE76" i="77" s="1"/>
  <c r="AE97" i="77" s="1" a="1"/>
  <c r="AE97" i="77" s="1"/>
  <c r="AE149" i="77" s="1" a="1"/>
  <c r="AE149" i="77" s="1"/>
  <c r="AB85" i="77" a="1"/>
  <c r="AB85" i="77" s="1"/>
  <c r="AB106" i="77" s="1" a="1"/>
  <c r="AB106" i="77" s="1"/>
  <c r="AB158" i="77" s="1" a="1"/>
  <c r="AB158" i="77" s="1"/>
  <c r="W79" i="77" a="1"/>
  <c r="W79" i="77" s="1"/>
  <c r="W100" i="77" s="1" a="1"/>
  <c r="W100" i="77" s="1"/>
  <c r="W152" i="77" s="1" a="1"/>
  <c r="W152" i="77" s="1"/>
  <c r="AE78" i="77" a="1"/>
  <c r="AE78" i="77" s="1"/>
  <c r="AE99" i="77" s="1" a="1"/>
  <c r="AE99" i="77" s="1"/>
  <c r="AE151" i="77" s="1" a="1"/>
  <c r="AE151" i="77" s="1"/>
  <c r="AB87" i="77" a="1"/>
  <c r="AB87" i="77" s="1"/>
  <c r="AB108" i="77" s="1" a="1"/>
  <c r="AB108" i="77" s="1"/>
  <c r="AB160" i="77" s="1" a="1"/>
  <c r="AB160" i="77" s="1"/>
  <c r="AE81" i="77" a="1"/>
  <c r="AE81" i="77" s="1"/>
  <c r="AE102" i="77" s="1" a="1"/>
  <c r="AE102" i="77" s="1"/>
  <c r="AE154" i="77" s="1" a="1"/>
  <c r="AE154" i="77" s="1"/>
  <c r="AE84" i="77" a="1"/>
  <c r="AE84" i="77" s="1"/>
  <c r="AE105" i="77" s="1" a="1"/>
  <c r="AE105" i="77" s="1"/>
  <c r="AE157" i="77" s="1" a="1"/>
  <c r="AE157" i="77" s="1"/>
  <c r="X82" i="77" a="1"/>
  <c r="X82" i="77" s="1"/>
  <c r="X103" i="77" s="1" a="1"/>
  <c r="X103" i="77" s="1"/>
  <c r="X155" i="77" s="1" a="1"/>
  <c r="X155" i="77" s="1"/>
  <c r="AB77" i="77" a="1"/>
  <c r="AB77" i="77" s="1"/>
  <c r="AB98" i="77" s="1" a="1"/>
  <c r="AB98" i="77" s="1"/>
  <c r="AB150" i="77" s="1" a="1"/>
  <c r="AB150" i="77" s="1"/>
  <c r="X77" i="77" a="1"/>
  <c r="X77" i="77" s="1"/>
  <c r="X98" i="77" s="1" a="1"/>
  <c r="X98" i="77" s="1"/>
  <c r="X150" i="77" s="1" a="1"/>
  <c r="X150" i="77" s="1"/>
  <c r="X79" i="77" a="1"/>
  <c r="X79" i="77" s="1"/>
  <c r="X100" i="77" s="1" a="1"/>
  <c r="X100" i="77" s="1"/>
  <c r="X152" i="77" s="1" a="1"/>
  <c r="X152" i="77" s="1"/>
  <c r="AC82" i="77" a="1"/>
  <c r="AC82" i="77" s="1"/>
  <c r="AC103" i="77" s="1" a="1"/>
  <c r="AC103" i="77" s="1"/>
  <c r="AC155" i="77" s="1" a="1"/>
  <c r="AC155" i="77" s="1"/>
  <c r="X81" i="77" a="1"/>
  <c r="X81" i="77" s="1"/>
  <c r="X102" i="77" s="1" a="1"/>
  <c r="X102" i="77" s="1"/>
  <c r="X154" i="77" s="1" a="1"/>
  <c r="X154" i="77" s="1"/>
  <c r="X84" i="77" a="1"/>
  <c r="X84" i="77" s="1"/>
  <c r="X105" i="77" s="1" a="1"/>
  <c r="X105" i="77" s="1"/>
  <c r="X157" i="77" s="1" a="1"/>
  <c r="X157" i="77" s="1"/>
  <c r="AB81" i="77" a="1"/>
  <c r="AB81" i="77" s="1"/>
  <c r="AB102" i="77" s="1" a="1"/>
  <c r="AB102" i="77" s="1"/>
  <c r="AB154" i="77" s="1" a="1"/>
  <c r="AB154" i="77" s="1"/>
  <c r="AE80" i="77" a="1"/>
  <c r="AE80" i="77" s="1"/>
  <c r="AE101" i="77" s="1" a="1"/>
  <c r="AE101" i="77" s="1"/>
  <c r="AE153" i="77" s="1" a="1"/>
  <c r="AE153" i="77" s="1"/>
  <c r="AC77" i="77" a="1"/>
  <c r="AC77" i="77" s="1"/>
  <c r="AC98" i="77" s="1" a="1"/>
  <c r="AC98" i="77" s="1"/>
  <c r="AC150" i="77" s="1" a="1"/>
  <c r="AC150" i="77" s="1"/>
  <c r="AD79" i="77" a="1"/>
  <c r="AD79" i="77" s="1"/>
  <c r="AD100" i="77" s="1" a="1"/>
  <c r="AD100" i="77" s="1"/>
  <c r="AD152" i="77" s="1" a="1"/>
  <c r="AD152" i="77" s="1"/>
  <c r="AE83" i="77" a="1"/>
  <c r="AE83" i="77" s="1"/>
  <c r="AE104" i="77" s="1" a="1"/>
  <c r="AE104" i="77" s="1"/>
  <c r="AE156" i="77" s="1" a="1"/>
  <c r="AE156" i="77" s="1"/>
  <c r="AB80" i="77" a="1"/>
  <c r="AB80" i="77" s="1"/>
  <c r="AB101" i="77" s="1" a="1"/>
  <c r="AB101" i="77" s="1"/>
  <c r="AB153" i="77" s="1" a="1"/>
  <c r="AB153" i="77" s="1"/>
  <c r="AB83" i="77" a="1"/>
  <c r="AB83" i="77" s="1"/>
  <c r="AB104" i="77" s="1" a="1"/>
  <c r="AB104" i="77" s="1"/>
  <c r="AB156" i="77" s="1" a="1"/>
  <c r="AB156" i="77" s="1"/>
  <c r="AC78" i="77" a="1"/>
  <c r="AC78" i="77" s="1"/>
  <c r="AC99" i="77" s="1" a="1"/>
  <c r="AC99" i="77" s="1"/>
  <c r="AC151" i="77" s="1" a="1"/>
  <c r="AC151" i="77" s="1"/>
  <c r="V82" i="77" a="1"/>
  <c r="V82" i="77" s="1"/>
  <c r="V103" i="77" s="1" a="1"/>
  <c r="V103" i="77" s="1"/>
  <c r="V155" i="77" s="1" a="1"/>
  <c r="V155" i="77" s="1"/>
  <c r="X80" i="77" a="1"/>
  <c r="X80" i="77" s="1"/>
  <c r="X101" i="77" s="1" a="1"/>
  <c r="X101" i="77" s="1"/>
  <c r="X153" i="77" s="1" a="1"/>
  <c r="X153" i="77" s="1"/>
  <c r="AD81" i="77" a="1"/>
  <c r="AD81" i="77" s="1"/>
  <c r="AD102" i="77" s="1" a="1"/>
  <c r="AD102" i="77" s="1"/>
  <c r="AD154" i="77" s="1" a="1"/>
  <c r="AD154" i="77" s="1"/>
  <c r="AB79" i="77" a="1"/>
  <c r="AB79" i="77" s="1"/>
  <c r="AB100" i="77" s="1" a="1"/>
  <c r="AB100" i="77" s="1"/>
  <c r="AB152" i="77" s="1" a="1"/>
  <c r="AB152" i="77" s="1"/>
  <c r="AC81" i="77" a="1"/>
  <c r="AC81" i="77" s="1"/>
  <c r="AC102" i="77" s="1" a="1"/>
  <c r="AC102" i="77" s="1"/>
  <c r="AC154" i="77" s="1" a="1"/>
  <c r="AC154" i="77" s="1"/>
  <c r="V78" i="77" a="1"/>
  <c r="V78" i="77" s="1"/>
  <c r="V99" i="77" s="1" a="1"/>
  <c r="V99" i="77" s="1"/>
  <c r="V151" i="77" s="1" a="1"/>
  <c r="V151" i="77" s="1"/>
  <c r="V83" i="77" a="1"/>
  <c r="V83" i="77" s="1"/>
  <c r="V104" i="77" s="1" a="1"/>
  <c r="V104" i="77" s="1"/>
  <c r="V156" i="77" s="1" a="1"/>
  <c r="V156" i="77" s="1"/>
  <c r="V77" i="77" a="1"/>
  <c r="V77" i="77" s="1"/>
  <c r="V98" i="77" s="1" a="1"/>
  <c r="V98" i="77" s="1"/>
  <c r="V150" i="77" s="1" a="1"/>
  <c r="V150" i="77" s="1"/>
  <c r="AD80" i="77" a="1"/>
  <c r="AD80" i="77" s="1"/>
  <c r="AD101" i="77" s="1" a="1"/>
  <c r="AD101" i="77" s="1"/>
  <c r="AD153" i="77" s="1" a="1"/>
  <c r="AD153" i="77" s="1"/>
  <c r="AD77" i="77" a="1"/>
  <c r="AD77" i="77" s="1"/>
  <c r="AD98" i="77" s="1" a="1"/>
  <c r="AD98" i="77" s="1"/>
  <c r="AD150" i="77" s="1" a="1"/>
  <c r="AD150" i="77" s="1"/>
  <c r="V81" i="77" a="1"/>
  <c r="V81" i="77" s="1"/>
  <c r="V102" i="77" s="1" a="1"/>
  <c r="V102" i="77" s="1"/>
  <c r="V154" i="77" s="1" a="1"/>
  <c r="V154" i="77" s="1"/>
  <c r="AC87" i="77" a="1"/>
  <c r="AC87" i="77" s="1"/>
  <c r="AC108" i="77" s="1" a="1"/>
  <c r="AC108" i="77" s="1"/>
  <c r="AC160" i="77" s="1" a="1"/>
  <c r="AC160" i="77" s="1"/>
  <c r="V84" i="77" a="1"/>
  <c r="V84" i="77" s="1"/>
  <c r="V105" i="77" s="1" a="1"/>
  <c r="V105" i="77" s="1"/>
  <c r="V157" i="77" s="1" a="1"/>
  <c r="V157" i="77" s="1"/>
  <c r="AD85" i="77" a="1"/>
  <c r="AD85" i="77" s="1"/>
  <c r="AD106" i="77" s="1" a="1"/>
  <c r="AD106" i="77" s="1"/>
  <c r="AD158" i="77" s="1" a="1"/>
  <c r="AD158" i="77" s="1"/>
  <c r="X78" i="77" a="1"/>
  <c r="X78" i="77" s="1"/>
  <c r="X99" i="77" s="1" a="1"/>
  <c r="X99" i="77" s="1"/>
  <c r="X151" i="77" s="1" a="1"/>
  <c r="X151" i="77" s="1"/>
  <c r="W77" i="77" a="1"/>
  <c r="W77" i="77" s="1"/>
  <c r="W98" i="77" s="1" a="1"/>
  <c r="W98" i="77" s="1"/>
  <c r="W150" i="77" s="1" a="1"/>
  <c r="W150" i="77" s="1"/>
  <c r="AD78" i="77" a="1"/>
  <c r="AD78" i="77" s="1"/>
  <c r="AD99" i="77" s="1" a="1"/>
  <c r="AD99" i="77" s="1"/>
  <c r="AD151" i="77" s="1" a="1"/>
  <c r="AD151" i="77" s="1"/>
  <c r="V87" i="77" a="1"/>
  <c r="V87" i="77" s="1"/>
  <c r="V108" i="77" s="1" a="1"/>
  <c r="V108" i="77" s="1"/>
  <c r="V160" i="77" s="1" a="1"/>
  <c r="V160" i="77" s="1"/>
  <c r="AE79" i="77" a="1"/>
  <c r="AE79" i="77" s="1"/>
  <c r="AE100" i="77" s="1" a="1"/>
  <c r="AE100" i="77" s="1"/>
  <c r="AE152" i="77" s="1" a="1"/>
  <c r="AE152" i="77" s="1"/>
  <c r="X83" i="77" a="1"/>
  <c r="X83" i="77" s="1"/>
  <c r="X104" i="77" s="1" a="1"/>
  <c r="X104" i="77" s="1"/>
  <c r="X156" i="77" s="1" a="1"/>
  <c r="X156" i="77" s="1"/>
  <c r="AD76" i="77" a="1"/>
  <c r="AD76" i="77" s="1"/>
  <c r="AD97" i="77" s="1" a="1"/>
  <c r="AD97" i="77" s="1"/>
  <c r="AD149" i="77" s="1" a="1"/>
  <c r="AD149" i="77" s="1"/>
  <c r="AB76" i="77" a="1"/>
  <c r="AB76" i="77" s="1"/>
  <c r="AB97" i="77" s="1" a="1"/>
  <c r="AB97" i="77" s="1"/>
  <c r="AB149" i="77" s="1" a="1"/>
  <c r="AB149" i="77" s="1"/>
  <c r="W78" i="77" a="1"/>
  <c r="W78" i="77" s="1"/>
  <c r="W99" i="77" s="1" a="1"/>
  <c r="W99" i="77" s="1"/>
  <c r="W151" i="77" s="1" a="1"/>
  <c r="W151" i="77" s="1"/>
  <c r="AC86" i="77" a="1"/>
  <c r="AC86" i="77" s="1"/>
  <c r="AC107" i="77" s="1" a="1"/>
  <c r="AC107" i="77" s="1"/>
  <c r="AC159" i="77" s="1" a="1"/>
  <c r="AC159" i="77" s="1"/>
  <c r="AB84" i="77" a="1"/>
  <c r="AB84" i="77" s="1"/>
  <c r="AB105" i="77" s="1" a="1"/>
  <c r="AB105" i="77" s="1"/>
  <c r="AB157" i="77" s="1" a="1"/>
  <c r="AB157" i="77" s="1"/>
  <c r="W82" i="77" a="1"/>
  <c r="W82" i="77" s="1"/>
  <c r="W103" i="77" s="1" a="1"/>
  <c r="W103" i="77" s="1"/>
  <c r="W155" i="77" s="1" a="1"/>
  <c r="W155" i="77" s="1"/>
  <c r="V44" i="77"/>
  <c r="V76" i="77" s="1" a="1"/>
  <c r="V76" i="77" s="1"/>
  <c r="V97" i="77" s="1" a="1"/>
  <c r="V97" i="77" s="1"/>
  <c r="V149" i="77" s="1" a="1"/>
  <c r="V149" i="77" s="1"/>
  <c r="AD87" i="77" a="1"/>
  <c r="AD87" i="77" s="1"/>
  <c r="AD108" i="77" s="1" a="1"/>
  <c r="AD108" i="77" s="1"/>
  <c r="AD160" i="77" s="1" a="1"/>
  <c r="AD160" i="77" s="1"/>
  <c r="V86" i="77" a="1"/>
  <c r="V86" i="77" s="1"/>
  <c r="V107" i="77" s="1" a="1"/>
  <c r="V107" i="77" s="1"/>
  <c r="V159" i="77" s="1" a="1"/>
  <c r="V159" i="77" s="1"/>
  <c r="AB86" i="77" a="1"/>
  <c r="AB86" i="77" s="1"/>
  <c r="AB107" i="77" s="1" a="1"/>
  <c r="AB107" i="77" s="1"/>
  <c r="AB159" i="77" s="1" a="1"/>
  <c r="AB159" i="77" s="1"/>
  <c r="AC79" i="77" a="1"/>
  <c r="AC79" i="77" s="1"/>
  <c r="AC100" i="77" s="1" a="1"/>
  <c r="AC100" i="77" s="1"/>
  <c r="AC152" i="77" s="1" a="1"/>
  <c r="AC152" i="77" s="1"/>
  <c r="AE87" i="77" a="1"/>
  <c r="AE87" i="77" s="1"/>
  <c r="AE108" i="77" s="1" a="1"/>
  <c r="AE108" i="77" s="1"/>
  <c r="AE160" i="77" s="1" a="1"/>
  <c r="AE160" i="77" s="1"/>
  <c r="W87" i="77" a="1"/>
  <c r="W87" i="77" s="1"/>
  <c r="W108" i="77" s="1" a="1"/>
  <c r="W108" i="77" s="1"/>
  <c r="W160" i="77" s="1" a="1"/>
  <c r="W160" i="77" s="1"/>
  <c r="AC85" i="77" a="1"/>
  <c r="AC85" i="77" s="1"/>
  <c r="AC106" i="77" s="1" a="1"/>
  <c r="AC106" i="77" s="1"/>
  <c r="AC158" i="77" s="1" a="1"/>
  <c r="AC158" i="77" s="1"/>
  <c r="AC83" i="77" a="1"/>
  <c r="AC83" i="77" s="1"/>
  <c r="AC104" i="77" s="1" a="1"/>
  <c r="AC104" i="77" s="1"/>
  <c r="AC156" i="77" s="1" a="1"/>
  <c r="AC156" i="77" s="1"/>
  <c r="AB78" i="77" a="1"/>
  <c r="AB78" i="77" s="1"/>
  <c r="AB99" i="77" s="1" a="1"/>
  <c r="AB99" i="77" s="1"/>
  <c r="AB151" i="77" s="1" a="1"/>
  <c r="AB151" i="77" s="1"/>
  <c r="X87" i="77" a="1"/>
  <c r="X87" i="77" s="1"/>
  <c r="X108" i="77" s="1" a="1"/>
  <c r="X108" i="77" s="1"/>
  <c r="X160" i="77" s="1" a="1"/>
  <c r="X160" i="77" s="1"/>
  <c r="AD86" i="77" a="1"/>
  <c r="AD86" i="77" s="1"/>
  <c r="AD107" i="77" s="1" a="1"/>
  <c r="AD107" i="77" s="1"/>
  <c r="AD159" i="77" s="1" a="1"/>
  <c r="AD159" i="77" s="1"/>
  <c r="V85" i="77" a="1"/>
  <c r="V85" i="77" s="1"/>
  <c r="V106" i="77" s="1" a="1"/>
  <c r="V106" i="77" s="1"/>
  <c r="V158" i="77" s="1" a="1"/>
  <c r="V158" i="77" s="1"/>
  <c r="AC80" i="77" a="1"/>
  <c r="AC80" i="77" s="1"/>
  <c r="AC101" i="77" s="1" a="1"/>
  <c r="AC101" i="77" s="1"/>
  <c r="AC153" i="77" s="1" a="1"/>
  <c r="AC153" i="77" s="1"/>
  <c r="AE77" i="77" a="1"/>
  <c r="AE77" i="77" s="1"/>
  <c r="AE98" i="77" s="1" a="1"/>
  <c r="AE98" i="77" s="1"/>
  <c r="AE150" i="77" s="1" a="1"/>
  <c r="AE150" i="77" s="1"/>
  <c r="W85" i="77" a="1"/>
  <c r="W85" i="77" s="1"/>
  <c r="W106" i="77" s="1" a="1"/>
  <c r="W106" i="77" s="1"/>
  <c r="W158" i="77" s="1" a="1"/>
  <c r="W158" i="77" s="1"/>
  <c r="AE86" i="77" a="1"/>
  <c r="AE86" i="77" s="1"/>
  <c r="AE107" i="77" s="1" a="1"/>
  <c r="AE107" i="77" s="1"/>
  <c r="AE159" i="77" s="1" a="1"/>
  <c r="AE159" i="77" s="1"/>
  <c r="W86" i="77" a="1"/>
  <c r="W86" i="77" s="1"/>
  <c r="W107" i="77" s="1" a="1"/>
  <c r="W107" i="77" s="1"/>
  <c r="W159" i="77" s="1" a="1"/>
  <c r="W159" i="77" s="1"/>
  <c r="AC84" i="77" a="1"/>
  <c r="AC84" i="77" s="1"/>
  <c r="AC105" i="77" s="1" a="1"/>
  <c r="AC105" i="77" s="1"/>
  <c r="AC157" i="77" s="1" a="1"/>
  <c r="AC157" i="77" s="1"/>
  <c r="X76" i="77" a="1"/>
  <c r="X76" i="77" s="1"/>
  <c r="X97" i="77" s="1" a="1"/>
  <c r="X97" i="77" s="1"/>
  <c r="X149" i="77" s="1" a="1"/>
  <c r="X149" i="77" s="1"/>
  <c r="AC76" i="77" a="1"/>
  <c r="AC76" i="77" s="1"/>
  <c r="AC97" i="77" s="1" a="1"/>
  <c r="AC97" i="77" s="1"/>
  <c r="AC149" i="77" s="1" a="1"/>
  <c r="AC149" i="77" s="1"/>
  <c r="AD82" i="77" a="1"/>
  <c r="AD82" i="77" s="1"/>
  <c r="AD103" i="77" s="1" a="1"/>
  <c r="AD103" i="77" s="1"/>
  <c r="AD155" i="77" s="1" a="1"/>
  <c r="AD155" i="77" s="1"/>
  <c r="X86" i="77" a="1"/>
  <c r="X86" i="77" s="1"/>
  <c r="X107" i="77" s="1" a="1"/>
  <c r="X107" i="77" s="1"/>
  <c r="X159" i="77" s="1" a="1"/>
  <c r="X159" i="77" s="1"/>
  <c r="AD84" i="77" a="1"/>
  <c r="AD84" i="77" s="1"/>
  <c r="AD105" i="77" s="1" a="1"/>
  <c r="AD105" i="77" s="1"/>
  <c r="AD157" i="77" s="1" a="1"/>
  <c r="AD157" i="77" s="1"/>
  <c r="W80" i="77" a="1"/>
  <c r="W80" i="77" s="1"/>
  <c r="W101" i="77" s="1" a="1"/>
  <c r="W101" i="77" s="1"/>
  <c r="W153" i="77" s="1" a="1"/>
  <c r="W153" i="77" s="1"/>
  <c r="AB82" i="77" a="1"/>
  <c r="AB82" i="77" s="1"/>
  <c r="AB103" i="77" s="1" a="1"/>
  <c r="AB103" i="77" s="1"/>
  <c r="AB155" i="77" s="1" a="1"/>
  <c r="AB155" i="77" s="1"/>
  <c r="V80" i="77" a="1"/>
  <c r="V80" i="77" s="1"/>
  <c r="V101" i="77" s="1" a="1"/>
  <c r="V101" i="77" s="1"/>
  <c r="V153" i="77" s="1" a="1"/>
  <c r="V153" i="77" s="1"/>
  <c r="AD83" i="77" a="1"/>
  <c r="AD83" i="77" s="1"/>
  <c r="AD104" i="77" s="1" a="1"/>
  <c r="AD104" i="77" s="1"/>
  <c r="AD156" i="77" s="1" a="1"/>
  <c r="AD156" i="77" s="1"/>
  <c r="AE85" i="77" a="1"/>
  <c r="AE85" i="77" s="1"/>
  <c r="AE106" i="77" s="1" a="1"/>
  <c r="AE106" i="77" s="1"/>
  <c r="AE158" i="77" s="1" a="1"/>
  <c r="AE158" i="77" s="1"/>
  <c r="W84" i="77" a="1"/>
  <c r="W84" i="77" s="1"/>
  <c r="W105" i="77" s="1" a="1"/>
  <c r="W105" i="77" s="1"/>
  <c r="W157" i="77" s="1" a="1"/>
  <c r="W157" i="77" s="1"/>
  <c r="W81" i="77" a="1"/>
  <c r="W81" i="77" s="1"/>
  <c r="W102" i="77" s="1" a="1"/>
  <c r="W102" i="77" s="1"/>
  <c r="W154" i="77" s="1" a="1"/>
  <c r="W154" i="77" s="1"/>
  <c r="AA77" i="77" a="1"/>
  <c r="AA77" i="77" s="1"/>
  <c r="AA98" i="77" s="1" a="1"/>
  <c r="AA98" i="77" s="1"/>
  <c r="AA150" i="77" s="1" a="1"/>
  <c r="AA150" i="77" s="1"/>
  <c r="Z83" i="77" a="1"/>
  <c r="Z83" i="77" s="1"/>
  <c r="Z104" i="77" s="1" a="1"/>
  <c r="Z104" i="77" s="1"/>
  <c r="Z156" i="77" s="1" a="1"/>
  <c r="Z156" i="77" s="1"/>
  <c r="Z81" i="77" a="1"/>
  <c r="Z81" i="77" s="1"/>
  <c r="Z102" i="77" s="1" a="1"/>
  <c r="Z102" i="77" s="1"/>
  <c r="Z154" i="77" s="1" a="1"/>
  <c r="Z154" i="77" s="1"/>
  <c r="Y83" i="77" a="1"/>
  <c r="Y83" i="77" s="1"/>
  <c r="Y104" i="77" s="1" a="1"/>
  <c r="Y104" i="77" s="1"/>
  <c r="Y156" i="77" s="1" a="1"/>
  <c r="Y156" i="77" s="1"/>
  <c r="Z76" i="77" a="1"/>
  <c r="Z76" i="77" s="1"/>
  <c r="Z97" i="77" s="1" a="1"/>
  <c r="Z97" i="77" s="1"/>
  <c r="Z149" i="77" s="1" a="1"/>
  <c r="Z149" i="77" s="1"/>
  <c r="AA78" i="77" a="1"/>
  <c r="AA78" i="77" s="1"/>
  <c r="AA99" i="77" s="1" a="1"/>
  <c r="AA99" i="77" s="1"/>
  <c r="AA151" i="77" s="1" a="1"/>
  <c r="AA151" i="77" s="1"/>
  <c r="Z85" i="77" a="1"/>
  <c r="Z85" i="77" s="1"/>
  <c r="Z106" i="77" s="1" a="1"/>
  <c r="Z106" i="77" s="1"/>
  <c r="Z158" i="77" s="1" a="1"/>
  <c r="Z158" i="77" s="1"/>
  <c r="AA83" i="77" a="1"/>
  <c r="AA83" i="77" s="1"/>
  <c r="AA104" i="77" s="1" a="1"/>
  <c r="AA104" i="77" s="1"/>
  <c r="AA156" i="77" s="1" a="1"/>
  <c r="AA156" i="77" s="1"/>
  <c r="Y86" i="77" a="1"/>
  <c r="Y86" i="77" s="1"/>
  <c r="Y107" i="77" s="1" a="1"/>
  <c r="Y107" i="77" s="1"/>
  <c r="Y159" i="77" s="1" a="1"/>
  <c r="Y159" i="77" s="1"/>
  <c r="AA82" i="77" a="1"/>
  <c r="AA82" i="77" s="1"/>
  <c r="AA103" i="77" s="1" a="1"/>
  <c r="AA103" i="77" s="1"/>
  <c r="AA155" i="77" s="1" a="1"/>
  <c r="AA155" i="77" s="1"/>
  <c r="Z84" i="77" a="1"/>
  <c r="Z84" i="77" s="1"/>
  <c r="Z105" i="77" s="1" a="1"/>
  <c r="Z105" i="77" s="1"/>
  <c r="Z157" i="77" s="1" a="1"/>
  <c r="Z157" i="77" s="1"/>
  <c r="AA84" i="77" a="1"/>
  <c r="AA84" i="77" s="1"/>
  <c r="AA105" i="77" s="1" a="1"/>
  <c r="AA105" i="77" s="1"/>
  <c r="AA157" i="77" s="1" a="1"/>
  <c r="AA157" i="77" s="1"/>
  <c r="AA80" i="77" a="1"/>
  <c r="AA80" i="77" s="1"/>
  <c r="AA101" i="77" s="1" a="1"/>
  <c r="AA101" i="77" s="1"/>
  <c r="AA153" i="77" s="1" a="1"/>
  <c r="AA153" i="77" s="1"/>
  <c r="Y84" i="77" a="1"/>
  <c r="Y84" i="77" s="1"/>
  <c r="Y105" i="77" s="1" a="1"/>
  <c r="Y105" i="77" s="1"/>
  <c r="Y157" i="77" s="1" a="1"/>
  <c r="Y157" i="77" s="1"/>
  <c r="F224" i="109" a="1"/>
  <c r="F224" i="109" s="1"/>
  <c r="G224" i="109" s="1" a="1"/>
  <c r="G224" i="109" s="1"/>
  <c r="E71" i="85" a="1"/>
  <c r="E71" i="85" s="1"/>
  <c r="E34" i="90"/>
  <c r="F34" i="90" s="1" a="1"/>
  <c r="F34" i="90" s="1"/>
  <c r="E30" i="89"/>
  <c r="H30" i="89" s="1" a="1"/>
  <c r="H30" i="89" s="1"/>
  <c r="E70" i="89" s="1"/>
  <c r="F70" i="89" s="1" a="1"/>
  <c r="F70" i="89" s="1"/>
  <c r="E221" i="109"/>
  <c r="J228" i="109" a="1"/>
  <c r="J228" i="109" s="1"/>
  <c r="J224" i="109" a="1"/>
  <c r="J224" i="109" s="1"/>
  <c r="J226" i="109" a="1"/>
  <c r="J226" i="109" s="1"/>
  <c r="J225" i="109" a="1"/>
  <c r="J225" i="109" s="1"/>
  <c r="J230" i="109" a="1"/>
  <c r="J230" i="109" s="1"/>
  <c r="J222" i="109" a="1"/>
  <c r="J222" i="109" s="1"/>
  <c r="J229" i="109" a="1"/>
  <c r="J229" i="109" s="1"/>
  <c r="J227" i="109" a="1"/>
  <c r="J227" i="109" s="1"/>
  <c r="J223" i="109" a="1"/>
  <c r="J223" i="109" s="1"/>
  <c r="K226" i="109" a="1"/>
  <c r="K226" i="109" s="1"/>
  <c r="K229" i="109" a="1"/>
  <c r="K229" i="109" s="1"/>
  <c r="K224" i="109" a="1"/>
  <c r="K224" i="109" s="1"/>
  <c r="H226" i="109" a="1"/>
  <c r="H226" i="109" s="1"/>
  <c r="H228" i="109" a="1"/>
  <c r="H228" i="109" s="1"/>
  <c r="H222" i="109" a="1"/>
  <c r="H222" i="109" s="1"/>
  <c r="K225" i="109" a="1"/>
  <c r="K225" i="109" s="1"/>
  <c r="K222" i="109" a="1"/>
  <c r="K222" i="109" s="1"/>
  <c r="K228" i="109" a="1"/>
  <c r="K228" i="109" s="1"/>
  <c r="K223" i="109" a="1"/>
  <c r="K223" i="109" s="1"/>
  <c r="K230" i="109" a="1"/>
  <c r="K230" i="109" s="1"/>
  <c r="H227" i="109" a="1"/>
  <c r="H227" i="109" s="1"/>
  <c r="K227" i="109" a="1"/>
  <c r="K227" i="109" s="1"/>
  <c r="H224" i="109" a="1"/>
  <c r="H224" i="109" s="1"/>
  <c r="H225" i="109" a="1"/>
  <c r="H225" i="109" s="1"/>
  <c r="H223" i="109" a="1"/>
  <c r="H223" i="109" s="1"/>
  <c r="H230" i="109" a="1"/>
  <c r="H230" i="109" s="1"/>
  <c r="AB76" i="80" a="1"/>
  <c r="AB76" i="80" s="1"/>
  <c r="AB131" i="80" s="1" a="1"/>
  <c r="AB131" i="80" s="1"/>
  <c r="V50" i="85" a="1"/>
  <c r="V50" i="85" s="1"/>
  <c r="U50" i="85"/>
  <c r="G52" i="87"/>
  <c r="E55" i="87" s="1" a="1"/>
  <c r="E55" i="87" s="1"/>
  <c r="E14" i="13" a="1"/>
  <c r="E14" i="13" s="1"/>
  <c r="F225" i="109" a="1"/>
  <c r="F225" i="109" s="1"/>
  <c r="G225" i="109" s="1" a="1"/>
  <c r="G225" i="109" s="1"/>
  <c r="H131" i="80" a="1"/>
  <c r="H131" i="80" s="1"/>
  <c r="H229" i="109" a="1"/>
  <c r="H229" i="109" s="1"/>
  <c r="AE46" i="81" a="1"/>
  <c r="AE46" i="81" s="1"/>
  <c r="AD38" i="81" a="1"/>
  <c r="AD38" i="81" s="1"/>
  <c r="X37" i="81" a="1"/>
  <c r="X37" i="81" s="1"/>
  <c r="Y45" i="81" a="1"/>
  <c r="Y45" i="81" s="1"/>
  <c r="AA42" i="81" a="1"/>
  <c r="AA42" i="81" s="1"/>
  <c r="AE40" i="81" a="1"/>
  <c r="AE40" i="81" s="1"/>
  <c r="V20" i="81"/>
  <c r="V36" i="81" s="1" a="1"/>
  <c r="V36" i="81" s="1"/>
  <c r="AE45" i="81" a="1"/>
  <c r="AE45" i="81" s="1"/>
  <c r="Z45" i="81" a="1"/>
  <c r="Z45" i="81" s="1"/>
  <c r="AE37" i="81" a="1"/>
  <c r="AE37" i="81" s="1"/>
  <c r="AE36" i="81" a="1"/>
  <c r="AE36" i="81" s="1"/>
  <c r="AB40" i="81" a="1"/>
  <c r="AB40" i="81" s="1"/>
  <c r="AE39" i="81" a="1"/>
  <c r="AE39" i="81" s="1"/>
  <c r="AE41" i="81" a="1"/>
  <c r="AE41" i="81" s="1"/>
  <c r="AE38" i="81" a="1"/>
  <c r="AE38" i="81" s="1"/>
  <c r="AE47" i="81" a="1"/>
  <c r="AE47" i="81" s="1"/>
  <c r="AE42" i="81" a="1"/>
  <c r="AE42" i="81" s="1"/>
  <c r="AC42" i="81" a="1"/>
  <c r="AC42" i="81" s="1"/>
  <c r="AE43" i="81" a="1"/>
  <c r="AE43" i="81" s="1"/>
  <c r="W37" i="81" a="1"/>
  <c r="W37" i="81" s="1"/>
  <c r="AE44" i="81" a="1"/>
  <c r="AE44" i="81" s="1"/>
  <c r="V39" i="81" a="1"/>
  <c r="V39" i="81" s="1"/>
  <c r="V41" i="81" a="1"/>
  <c r="V41" i="81" s="1"/>
  <c r="W36" i="81" a="1"/>
  <c r="W36" i="81" s="1"/>
  <c r="X45" i="81" a="1"/>
  <c r="X45" i="81" s="1"/>
  <c r="AB47" i="81" a="1"/>
  <c r="AB47" i="81" s="1"/>
  <c r="AA41" i="81" a="1"/>
  <c r="AA41" i="81" s="1"/>
  <c r="AC36" i="81" a="1"/>
  <c r="AC36" i="81" s="1"/>
  <c r="AD42" i="81" a="1"/>
  <c r="AD42" i="81" s="1"/>
  <c r="V45" i="81" a="1"/>
  <c r="V45" i="81" s="1"/>
  <c r="AA40" i="81" a="1"/>
  <c r="AA40" i="81" s="1"/>
  <c r="W44" i="81" a="1"/>
  <c r="W44" i="81" s="1"/>
  <c r="V38" i="81" a="1"/>
  <c r="V38" i="81" s="1"/>
  <c r="Z40" i="81" a="1"/>
  <c r="Z40" i="81" s="1"/>
  <c r="AB36" i="81" a="1"/>
  <c r="AB36" i="81" s="1"/>
  <c r="AC40" i="81" a="1"/>
  <c r="AC40" i="81" s="1"/>
  <c r="Y46" i="81" a="1"/>
  <c r="Y46" i="81" s="1"/>
  <c r="Y37" i="81" a="1"/>
  <c r="Y37" i="81" s="1"/>
  <c r="W38" i="81" a="1"/>
  <c r="W38" i="81" s="1"/>
  <c r="Z43" i="81" a="1"/>
  <c r="Z43" i="81" s="1"/>
  <c r="AD47" i="81" a="1"/>
  <c r="AD47" i="81" s="1"/>
  <c r="Z42" i="81" a="1"/>
  <c r="Z42" i="81" s="1"/>
  <c r="AA45" i="81" a="1"/>
  <c r="AA45" i="81" s="1"/>
  <c r="AA36" i="81" a="1"/>
  <c r="AA36" i="81" s="1"/>
  <c r="AB42" i="81" a="1"/>
  <c r="AB42" i="81" s="1"/>
  <c r="X47" i="81" a="1"/>
  <c r="X47" i="81" s="1"/>
  <c r="Z36" i="81" a="1"/>
  <c r="Z36" i="81" s="1"/>
  <c r="Z37" i="81" a="1"/>
  <c r="Z37" i="81" s="1"/>
  <c r="V37" i="81" a="1"/>
  <c r="V37" i="81" s="1"/>
  <c r="W46" i="81" a="1"/>
  <c r="W46" i="81" s="1"/>
  <c r="W45" i="81" a="1"/>
  <c r="W45" i="81" s="1"/>
  <c r="AD36" i="81" a="1"/>
  <c r="AD36" i="81" s="1"/>
  <c r="AC46" i="81" a="1"/>
  <c r="AC46" i="81" s="1"/>
  <c r="AC37" i="81" a="1"/>
  <c r="AC37" i="81" s="1"/>
  <c r="W40" i="81" a="1"/>
  <c r="W40" i="81" s="1"/>
  <c r="AD46" i="81" a="1"/>
  <c r="AD46" i="81" s="1"/>
  <c r="AB43" i="81" a="1"/>
  <c r="AB43" i="81" s="1"/>
  <c r="V43" i="81" a="1"/>
  <c r="V43" i="81" s="1"/>
  <c r="X43" i="81" a="1"/>
  <c r="X43" i="81" s="1"/>
  <c r="Y39" i="81" a="1"/>
  <c r="Y39" i="81" s="1"/>
  <c r="AC44" i="81" a="1"/>
  <c r="AC44" i="81" s="1"/>
  <c r="AB37" i="81" a="1"/>
  <c r="AB37" i="81" s="1"/>
  <c r="X38" i="81" a="1"/>
  <c r="X38" i="81" s="1"/>
  <c r="AA44" i="81" a="1"/>
  <c r="AA44" i="81" s="1"/>
  <c r="AA47" i="81" a="1"/>
  <c r="AA47" i="81" s="1"/>
  <c r="AB38" i="81" a="1"/>
  <c r="AB38" i="81" s="1"/>
  <c r="Y40" i="81" a="1"/>
  <c r="Y40" i="81" s="1"/>
  <c r="V42" i="81" a="1"/>
  <c r="V42" i="81" s="1"/>
  <c r="W43" i="81" a="1"/>
  <c r="W43" i="81" s="1"/>
  <c r="AD39" i="81" a="1"/>
  <c r="AD39" i="81" s="1"/>
  <c r="AB45" i="81" a="1"/>
  <c r="AB45" i="81" s="1"/>
  <c r="X46" i="81" a="1"/>
  <c r="X46" i="81" s="1"/>
  <c r="Z46" i="81" a="1"/>
  <c r="Z46" i="81" s="1"/>
  <c r="W39" i="81" a="1"/>
  <c r="W39" i="81" s="1"/>
  <c r="Y41" i="81" a="1"/>
  <c r="Y41" i="81" s="1"/>
  <c r="Y47" i="81" a="1"/>
  <c r="Y47" i="81" s="1"/>
  <c r="W47" i="81" a="1"/>
  <c r="W47" i="81" s="1"/>
  <c r="Z38" i="81" a="1"/>
  <c r="Z38" i="81" s="1"/>
  <c r="AB41" i="81" a="1"/>
  <c r="AB41" i="81" s="1"/>
  <c r="X39" i="81" a="1"/>
  <c r="X39" i="81" s="1"/>
  <c r="X42" i="81" a="1"/>
  <c r="X42" i="81" s="1"/>
  <c r="Z39" i="81" a="1"/>
  <c r="Z39" i="81" s="1"/>
  <c r="AB44" i="81" a="1"/>
  <c r="AB44" i="81" s="1"/>
  <c r="Y36" i="81" a="1"/>
  <c r="Y36" i="81" s="1"/>
  <c r="X36" i="81" a="1"/>
  <c r="X36" i="81" s="1"/>
  <c r="AD40" i="81" a="1"/>
  <c r="AD40" i="81" s="1"/>
  <c r="W41" i="81" a="1"/>
  <c r="W41" i="81" s="1"/>
  <c r="Z47" i="81" a="1"/>
  <c r="Z47" i="81" s="1"/>
  <c r="V46" i="81" a="1"/>
  <c r="V46" i="81" s="1"/>
  <c r="X40" i="81" a="1"/>
  <c r="X40" i="81" s="1"/>
  <c r="X41" i="81" a="1"/>
  <c r="X41" i="81" s="1"/>
  <c r="AA46" i="81" a="1"/>
  <c r="AA46" i="81" s="1"/>
  <c r="AD43" i="81" a="1"/>
  <c r="AD43" i="81" s="1"/>
  <c r="AD41" i="81" a="1"/>
  <c r="AD41" i="81" s="1"/>
  <c r="Y38" i="81" a="1"/>
  <c r="Y38" i="81" s="1"/>
  <c r="Y42" i="81" a="1"/>
  <c r="Y42" i="81" s="1"/>
  <c r="AC38" i="81" a="1"/>
  <c r="AC38" i="81" s="1"/>
  <c r="V40" i="81" a="1"/>
  <c r="V40" i="81" s="1"/>
  <c r="AA38" i="81" a="1"/>
  <c r="AA38" i="81" s="1"/>
  <c r="W42" i="81" a="1"/>
  <c r="W42" i="81" s="1"/>
  <c r="AA39" i="81" a="1"/>
  <c r="AA39" i="81" s="1"/>
  <c r="Y44" i="81" a="1"/>
  <c r="Y44" i="81" s="1"/>
  <c r="AD45" i="81" a="1"/>
  <c r="AD45" i="81" s="1"/>
  <c r="AC39" i="81" a="1"/>
  <c r="AC39" i="81" s="1"/>
  <c r="AD37" i="81" a="1"/>
  <c r="AD37" i="81" s="1"/>
  <c r="AD44" i="81" a="1"/>
  <c r="AD44" i="81" s="1"/>
  <c r="Z44" i="81" a="1"/>
  <c r="Z44" i="81" s="1"/>
  <c r="Z41" i="81" a="1"/>
  <c r="Z41" i="81" s="1"/>
  <c r="AC41" i="81" a="1"/>
  <c r="AC41" i="81" s="1"/>
  <c r="AB39" i="81" a="1"/>
  <c r="AB39" i="81" s="1"/>
  <c r="Y43" i="81" a="1"/>
  <c r="Y43" i="81" s="1"/>
  <c r="AC47" i="81" a="1"/>
  <c r="AC47" i="81" s="1"/>
  <c r="AB46" i="81" a="1"/>
  <c r="AB46" i="81" s="1"/>
  <c r="V44" i="81" a="1"/>
  <c r="V44" i="81" s="1"/>
  <c r="V47" i="81" a="1"/>
  <c r="V47" i="81" s="1"/>
  <c r="X44" i="81" a="1"/>
  <c r="X44" i="81" s="1"/>
  <c r="AA43" i="81" a="1"/>
  <c r="AA43" i="81" s="1"/>
  <c r="AC43" i="81" a="1"/>
  <c r="AC43" i="81" s="1"/>
  <c r="AA37" i="81" a="1"/>
  <c r="AA37" i="81" s="1"/>
  <c r="AC45" i="81" a="1"/>
  <c r="AC45" i="81" s="1"/>
  <c r="F227" i="109" a="1"/>
  <c r="F227" i="109" s="1"/>
  <c r="G227" i="109" s="1" a="1"/>
  <c r="G227" i="109" s="1"/>
  <c r="AD178" i="80" a="1"/>
  <c r="AD178" i="80" s="1"/>
  <c r="AD252" i="80" s="1" a="1"/>
  <c r="AD252" i="80" s="1"/>
  <c r="J134" i="80" a="1"/>
  <c r="J134" i="80" s="1"/>
  <c r="K184" i="80" s="1" a="1"/>
  <c r="K184" i="80" s="1"/>
  <c r="K242" i="80" s="1" a="1"/>
  <c r="K242" i="80" s="1"/>
  <c r="E29" i="90"/>
  <c r="F29" i="90" s="1" a="1"/>
  <c r="F29" i="90" s="1"/>
  <c r="E25" i="89"/>
  <c r="H25" i="89" s="1" a="1"/>
  <c r="H25" i="89" s="1"/>
  <c r="E65" i="89" s="1"/>
  <c r="F65" i="89" s="1" a="1"/>
  <c r="F65" i="89" s="1"/>
  <c r="E66" i="85" a="1"/>
  <c r="E66" i="85" s="1"/>
  <c r="H65" i="77" a="1"/>
  <c r="H65" i="77" s="1"/>
  <c r="H86" i="77" s="1" a="1"/>
  <c r="H86" i="77" s="1"/>
  <c r="H124" i="77" s="1" a="1"/>
  <c r="H124" i="77" s="1"/>
  <c r="AC87" i="80" a="1"/>
  <c r="AC87" i="80" s="1"/>
  <c r="AC142" i="80" s="1" a="1"/>
  <c r="AC142" i="80" s="1"/>
  <c r="E63" i="85" a="1"/>
  <c r="E63" i="85" s="1"/>
  <c r="E26" i="90"/>
  <c r="F26" i="90" s="1" a="1"/>
  <c r="F26" i="90" s="1"/>
  <c r="E22" i="89"/>
  <c r="H22" i="89" s="1" a="1"/>
  <c r="H22" i="89" s="1"/>
  <c r="E62" i="89" s="1"/>
  <c r="F62" i="89" s="1" a="1"/>
  <c r="F62" i="89" s="1"/>
  <c r="J180" i="80" a="1"/>
  <c r="J180" i="80" s="1"/>
  <c r="J238" i="80" s="1" a="1"/>
  <c r="J238" i="80" s="1"/>
  <c r="AB77" i="80" a="1"/>
  <c r="AB77" i="80" s="1"/>
  <c r="AB132" i="80" s="1" a="1"/>
  <c r="AB132" i="80" s="1"/>
  <c r="AD186" i="80" a="1"/>
  <c r="AD186" i="80" s="1"/>
  <c r="AD260" i="80" s="1" a="1"/>
  <c r="AD260" i="80" s="1"/>
  <c r="E78" i="86"/>
  <c r="E13" i="13" s="1" a="1"/>
  <c r="E13" i="13" s="1"/>
  <c r="F13" i="13" s="1"/>
  <c r="I13" i="13" s="1"/>
  <c r="N85" i="80" a="1"/>
  <c r="N85" i="80" s="1"/>
  <c r="N132" i="80" s="1" a="1"/>
  <c r="N132" i="80" s="1"/>
  <c r="F84" i="80" a="1"/>
  <c r="F84" i="80" s="1"/>
  <c r="F131" i="80" s="1" a="1"/>
  <c r="F131" i="80" s="1"/>
  <c r="K87" i="80" a="1"/>
  <c r="K87" i="80" s="1"/>
  <c r="K134" i="80" s="1" a="1"/>
  <c r="K134" i="80" s="1"/>
  <c r="K84" i="80" a="1"/>
  <c r="K84" i="80" s="1"/>
  <c r="K131" i="80" s="1" a="1"/>
  <c r="K131" i="80" s="1"/>
  <c r="N87" i="80" a="1"/>
  <c r="N87" i="80" s="1"/>
  <c r="N134" i="80" s="1" a="1"/>
  <c r="N134" i="80" s="1"/>
  <c r="F85" i="80" a="1"/>
  <c r="F85" i="80" s="1"/>
  <c r="F132" i="80" s="1" a="1"/>
  <c r="F132" i="80" s="1"/>
  <c r="K85" i="80" a="1"/>
  <c r="K85" i="80" s="1"/>
  <c r="K132" i="80" s="1" a="1"/>
  <c r="K132" i="80" s="1"/>
  <c r="G87" i="80" a="1"/>
  <c r="G87" i="80" s="1"/>
  <c r="G134" i="80" s="1" a="1"/>
  <c r="G134" i="80" s="1"/>
  <c r="N86" i="80" a="1"/>
  <c r="N86" i="80" s="1"/>
  <c r="N133" i="80" s="1" a="1"/>
  <c r="N133" i="80" s="1"/>
  <c r="K86" i="80" a="1"/>
  <c r="K86" i="80" s="1"/>
  <c r="K133" i="80" s="1" a="1"/>
  <c r="K133" i="80" s="1"/>
  <c r="G86" i="80" a="1"/>
  <c r="G86" i="80" s="1"/>
  <c r="G133" i="80" s="1" a="1"/>
  <c r="G133" i="80" s="1"/>
  <c r="M86" i="80" a="1"/>
  <c r="M86" i="80" s="1"/>
  <c r="M133" i="80" s="1" a="1"/>
  <c r="M133" i="80" s="1"/>
  <c r="F86" i="80" a="1"/>
  <c r="F86" i="80" s="1"/>
  <c r="F133" i="80" s="1" a="1"/>
  <c r="F133" i="80" s="1"/>
  <c r="G85" i="80" a="1"/>
  <c r="G85" i="80" s="1"/>
  <c r="G132" i="80" s="1" a="1"/>
  <c r="G132" i="80" s="1"/>
  <c r="L85" i="80" a="1"/>
  <c r="L85" i="80" s="1"/>
  <c r="L132" i="80" s="1" a="1"/>
  <c r="L132" i="80" s="1"/>
  <c r="N84" i="80" a="1"/>
  <c r="N84" i="80" s="1"/>
  <c r="N131" i="80" s="1" a="1"/>
  <c r="N131" i="80" s="1"/>
  <c r="E52" i="80"/>
  <c r="E84" i="80" s="1" a="1"/>
  <c r="E84" i="80" s="1"/>
  <c r="E131" i="80" s="1" a="1"/>
  <c r="E131" i="80" s="1"/>
  <c r="M87" i="80" a="1"/>
  <c r="M87" i="80" s="1"/>
  <c r="M134" i="80" s="1" a="1"/>
  <c r="M134" i="80" s="1"/>
  <c r="M84" i="80" a="1"/>
  <c r="M84" i="80" s="1"/>
  <c r="M131" i="80" s="1" a="1"/>
  <c r="M131" i="80" s="1"/>
  <c r="G84" i="80" a="1"/>
  <c r="G84" i="80" s="1"/>
  <c r="G131" i="80" s="1" a="1"/>
  <c r="G131" i="80" s="1"/>
  <c r="L87" i="80" a="1"/>
  <c r="L87" i="80" s="1"/>
  <c r="L134" i="80" s="1" a="1"/>
  <c r="L134" i="80" s="1"/>
  <c r="E85" i="80" a="1"/>
  <c r="E85" i="80" s="1"/>
  <c r="E132" i="80" s="1" a="1"/>
  <c r="E132" i="80" s="1"/>
  <c r="F87" i="80" a="1"/>
  <c r="F87" i="80" s="1"/>
  <c r="F134" i="80" s="1" a="1"/>
  <c r="F134" i="80" s="1"/>
  <c r="E87" i="80" a="1"/>
  <c r="E87" i="80" s="1"/>
  <c r="E134" i="80" s="1" a="1"/>
  <c r="E134" i="80" s="1"/>
  <c r="L86" i="80" a="1"/>
  <c r="L86" i="80" s="1"/>
  <c r="L133" i="80" s="1" a="1"/>
  <c r="L133" i="80" s="1"/>
  <c r="L84" i="80" a="1"/>
  <c r="L84" i="80" s="1"/>
  <c r="L131" i="80" s="1" a="1"/>
  <c r="L131" i="80" s="1"/>
  <c r="M85" i="80" a="1"/>
  <c r="M85" i="80" s="1"/>
  <c r="M132" i="80" s="1" a="1"/>
  <c r="M132" i="80" s="1"/>
  <c r="E86" i="80" a="1"/>
  <c r="E86" i="80" s="1"/>
  <c r="E133" i="80" s="1" a="1"/>
  <c r="E133" i="80" s="1"/>
  <c r="H86" i="80" a="1"/>
  <c r="H86" i="80" s="1"/>
  <c r="H133" i="80" s="1" a="1"/>
  <c r="H133" i="80" s="1"/>
  <c r="AA83" i="80" a="1"/>
  <c r="AA83" i="80" s="1"/>
  <c r="AA138" i="80" s="1" a="1"/>
  <c r="AA138" i="80" s="1"/>
  <c r="AB196" i="80" s="1" a="1"/>
  <c r="AB196" i="80" s="1"/>
  <c r="AB270" i="80" s="1" a="1"/>
  <c r="AB270" i="80" s="1"/>
  <c r="AB84" i="80" a="1"/>
  <c r="AB84" i="80" s="1"/>
  <c r="AB139" i="80" s="1" a="1"/>
  <c r="AB139" i="80" s="1"/>
  <c r="AC197" i="80" s="1" a="1"/>
  <c r="AC197" i="80" s="1"/>
  <c r="AC271" i="80" s="1" a="1"/>
  <c r="AC271" i="80" s="1"/>
  <c r="E35" i="81" a="1"/>
  <c r="E35" i="81" s="1"/>
  <c r="E20" i="81"/>
  <c r="E33" i="81" s="1" a="1"/>
  <c r="E33" i="81" s="1"/>
  <c r="N35" i="81" a="1"/>
  <c r="N35" i="81" s="1"/>
  <c r="N33" i="81" a="1"/>
  <c r="N33" i="81" s="1"/>
  <c r="N34" i="81" a="1"/>
  <c r="N34" i="81" s="1"/>
  <c r="N36" i="81" a="1"/>
  <c r="N36" i="81" s="1"/>
  <c r="G33" i="81" a="1"/>
  <c r="G33" i="81" s="1"/>
  <c r="K36" i="81" a="1"/>
  <c r="K36" i="81" s="1"/>
  <c r="F36" i="81" a="1"/>
  <c r="F36" i="81" s="1"/>
  <c r="H33" i="81" a="1"/>
  <c r="H33" i="81" s="1"/>
  <c r="H36" i="81" a="1"/>
  <c r="H36" i="81" s="1"/>
  <c r="K35" i="81" a="1"/>
  <c r="K35" i="81" s="1"/>
  <c r="F34" i="81" a="1"/>
  <c r="F34" i="81" s="1"/>
  <c r="M36" i="81" a="1"/>
  <c r="M36" i="81" s="1"/>
  <c r="H35" i="81" a="1"/>
  <c r="H35" i="81" s="1"/>
  <c r="K33" i="81" a="1"/>
  <c r="K33" i="81" s="1"/>
  <c r="I35" i="81" a="1"/>
  <c r="I35" i="81" s="1"/>
  <c r="J36" i="81" a="1"/>
  <c r="J36" i="81" s="1"/>
  <c r="I36" i="81" a="1"/>
  <c r="I36" i="81" s="1"/>
  <c r="J35" i="81" a="1"/>
  <c r="J35" i="81" s="1"/>
  <c r="I34" i="81" a="1"/>
  <c r="I34" i="81" s="1"/>
  <c r="E36" i="81" a="1"/>
  <c r="E36" i="81" s="1"/>
  <c r="I33" i="81" a="1"/>
  <c r="I33" i="81" s="1"/>
  <c r="J33" i="81" a="1"/>
  <c r="J33" i="81" s="1"/>
  <c r="L34" i="81" a="1"/>
  <c r="L34" i="81" s="1"/>
  <c r="E34" i="81" a="1"/>
  <c r="E34" i="81" s="1"/>
  <c r="H34" i="81" a="1"/>
  <c r="H34" i="81" s="1"/>
  <c r="M34" i="81" a="1"/>
  <c r="M34" i="81" s="1"/>
  <c r="L36" i="81" a="1"/>
  <c r="L36" i="81" s="1"/>
  <c r="F35" i="81" a="1"/>
  <c r="F35" i="81" s="1"/>
  <c r="K34" i="81" a="1"/>
  <c r="K34" i="81" s="1"/>
  <c r="G36" i="81" a="1"/>
  <c r="G36" i="81" s="1"/>
  <c r="M35" i="81" a="1"/>
  <c r="M35" i="81" s="1"/>
  <c r="G34" i="81" a="1"/>
  <c r="G34" i="81" s="1"/>
  <c r="M33" i="81" a="1"/>
  <c r="M33" i="81" s="1"/>
  <c r="L35" i="81" a="1"/>
  <c r="L35" i="81" s="1"/>
  <c r="L33" i="81" a="1"/>
  <c r="L33" i="81" s="1"/>
  <c r="J34" i="81" a="1"/>
  <c r="J34" i="81" s="1"/>
  <c r="G35" i="81" a="1"/>
  <c r="G35" i="81" s="1"/>
  <c r="F33" i="81" a="1"/>
  <c r="F33" i="81" s="1"/>
  <c r="E78" i="85" a="1"/>
  <c r="E78" i="85" s="1"/>
  <c r="E41" i="90"/>
  <c r="F41" i="90" s="1" a="1"/>
  <c r="F41" i="90" s="1"/>
  <c r="E37" i="89"/>
  <c r="H37" i="89" s="1" a="1"/>
  <c r="H37" i="89" s="1"/>
  <c r="E77" i="89" s="1"/>
  <c r="F77" i="89" s="1" a="1"/>
  <c r="F77" i="89" s="1"/>
  <c r="Z82" i="77" a="1"/>
  <c r="Z82" i="77" s="1"/>
  <c r="Z103" i="77" s="1" a="1"/>
  <c r="Z103" i="77" s="1"/>
  <c r="Z155" i="77" s="1" a="1"/>
  <c r="Z155" i="77" s="1"/>
  <c r="AC86" i="80" a="1"/>
  <c r="AC86" i="80" s="1"/>
  <c r="AC141" i="80" s="1" a="1"/>
  <c r="AC141" i="80" s="1"/>
  <c r="AC80" i="80" a="1"/>
  <c r="AC80" i="80" s="1"/>
  <c r="AC135" i="80" s="1" a="1"/>
  <c r="AC135" i="80" s="1"/>
  <c r="AC84" i="80" a="1"/>
  <c r="AC84" i="80" s="1"/>
  <c r="AC139" i="80" s="1" a="1"/>
  <c r="AC139" i="80" s="1"/>
  <c r="AD185" i="80" s="1" a="1"/>
  <c r="AD185" i="80" s="1"/>
  <c r="AD259" i="80" s="1" a="1"/>
  <c r="AD259" i="80" s="1"/>
  <c r="AB85" i="80" a="1"/>
  <c r="AB85" i="80" s="1"/>
  <c r="AB140" i="80" s="1" a="1"/>
  <c r="AB140" i="80" s="1"/>
  <c r="AC198" i="80" s="1" a="1"/>
  <c r="AC198" i="80" s="1"/>
  <c r="AC272" i="80" s="1" a="1"/>
  <c r="AC272" i="80" s="1"/>
  <c r="F228" i="109" a="1"/>
  <c r="F228" i="109" s="1"/>
  <c r="G228" i="109" s="1" a="1"/>
  <c r="G228" i="109" s="1"/>
  <c r="AC81" i="80" a="1"/>
  <c r="AC81" i="80" s="1"/>
  <c r="AC136" i="80" s="1" a="1"/>
  <c r="AC136" i="80" s="1"/>
  <c r="K67" i="77" a="1"/>
  <c r="K67" i="77" s="1"/>
  <c r="K88" i="77" s="1" a="1"/>
  <c r="K88" i="77" s="1"/>
  <c r="K126" i="77" s="1" a="1"/>
  <c r="K126" i="77" s="1"/>
  <c r="E66" i="77" a="1"/>
  <c r="E66" i="77" s="1"/>
  <c r="E87" i="77" s="1" a="1"/>
  <c r="E87" i="77" s="1"/>
  <c r="E125" i="77" s="1" a="1"/>
  <c r="E125" i="77" s="1"/>
  <c r="G65" i="77" a="1"/>
  <c r="G65" i="77" s="1"/>
  <c r="G86" i="77" s="1" a="1"/>
  <c r="G86" i="77" s="1"/>
  <c r="G124" i="77" s="1" a="1"/>
  <c r="G124" i="77" s="1"/>
  <c r="M64" i="77" a="1"/>
  <c r="M64" i="77" s="1"/>
  <c r="M85" i="77" s="1" a="1"/>
  <c r="M85" i="77" s="1"/>
  <c r="M123" i="77" s="1" a="1"/>
  <c r="M123" i="77" s="1"/>
  <c r="K64" i="77" a="1"/>
  <c r="K64" i="77" s="1"/>
  <c r="K85" i="77" s="1" a="1"/>
  <c r="K85" i="77" s="1"/>
  <c r="K123" i="77" s="1" a="1"/>
  <c r="K123" i="77" s="1"/>
  <c r="N66" i="77" a="1"/>
  <c r="N66" i="77" s="1"/>
  <c r="N87" i="77" s="1" a="1"/>
  <c r="N87" i="77" s="1"/>
  <c r="N125" i="77" s="1" a="1"/>
  <c r="N125" i="77" s="1"/>
  <c r="L67" i="77" a="1"/>
  <c r="L67" i="77" s="1"/>
  <c r="L88" i="77" s="1" a="1"/>
  <c r="L88" i="77" s="1"/>
  <c r="L126" i="77" s="1" a="1"/>
  <c r="L126" i="77" s="1"/>
  <c r="M66" i="77" a="1"/>
  <c r="M66" i="77" s="1"/>
  <c r="M87" i="77" s="1" a="1"/>
  <c r="M87" i="77" s="1"/>
  <c r="M125" i="77" s="1" a="1"/>
  <c r="M125" i="77" s="1"/>
  <c r="G66" i="77" a="1"/>
  <c r="G66" i="77" s="1"/>
  <c r="G87" i="77" s="1" a="1"/>
  <c r="G87" i="77" s="1"/>
  <c r="G125" i="77" s="1" a="1"/>
  <c r="G125" i="77" s="1"/>
  <c r="H64" i="77" a="1"/>
  <c r="H64" i="77" s="1"/>
  <c r="H85" i="77" s="1" a="1"/>
  <c r="H85" i="77" s="1"/>
  <c r="H123" i="77" s="1" a="1"/>
  <c r="H123" i="77" s="1"/>
  <c r="K65" i="77" a="1"/>
  <c r="K65" i="77" s="1"/>
  <c r="K86" i="77" s="1" a="1"/>
  <c r="K86" i="77" s="1"/>
  <c r="K124" i="77" s="1" a="1"/>
  <c r="K124" i="77" s="1"/>
  <c r="E65" i="77" a="1"/>
  <c r="E65" i="77" s="1"/>
  <c r="E86" i="77" s="1" a="1"/>
  <c r="E86" i="77" s="1"/>
  <c r="E124" i="77" s="1" a="1"/>
  <c r="E124" i="77" s="1"/>
  <c r="L65" i="77" a="1"/>
  <c r="L65" i="77" s="1"/>
  <c r="L86" i="77" s="1" a="1"/>
  <c r="L86" i="77" s="1"/>
  <c r="L124" i="77" s="1" a="1"/>
  <c r="L124" i="77" s="1"/>
  <c r="L66" i="77" a="1"/>
  <c r="L66" i="77" s="1"/>
  <c r="L87" i="77" s="1" a="1"/>
  <c r="L87" i="77" s="1"/>
  <c r="L125" i="77" s="1" a="1"/>
  <c r="L125" i="77" s="1"/>
  <c r="F64" i="77" a="1"/>
  <c r="F64" i="77" s="1"/>
  <c r="F85" i="77" s="1" a="1"/>
  <c r="F85" i="77" s="1"/>
  <c r="F123" i="77" s="1" a="1"/>
  <c r="F123" i="77" s="1"/>
  <c r="K66" i="77" a="1"/>
  <c r="K66" i="77" s="1"/>
  <c r="K87" i="77" s="1" a="1"/>
  <c r="K87" i="77" s="1"/>
  <c r="K125" i="77" s="1" a="1"/>
  <c r="K125" i="77" s="1"/>
  <c r="G64" i="77" a="1"/>
  <c r="G64" i="77" s="1"/>
  <c r="G85" i="77" s="1" a="1"/>
  <c r="G85" i="77" s="1"/>
  <c r="G123" i="77" s="1" a="1"/>
  <c r="G123" i="77" s="1"/>
  <c r="M65" i="77" a="1"/>
  <c r="M65" i="77" s="1"/>
  <c r="M86" i="77" s="1" a="1"/>
  <c r="M86" i="77" s="1"/>
  <c r="M124" i="77" s="1" a="1"/>
  <c r="M124" i="77" s="1"/>
  <c r="G67" i="77" a="1"/>
  <c r="G67" i="77" s="1"/>
  <c r="G88" i="77" s="1" a="1"/>
  <c r="G88" i="77" s="1"/>
  <c r="G126" i="77" s="1" a="1"/>
  <c r="G126" i="77" s="1"/>
  <c r="F66" i="77" a="1"/>
  <c r="F66" i="77" s="1"/>
  <c r="F87" i="77" s="1" a="1"/>
  <c r="F87" i="77" s="1"/>
  <c r="F125" i="77" s="1" a="1"/>
  <c r="F125" i="77" s="1"/>
  <c r="E67" i="77" a="1"/>
  <c r="E67" i="77" s="1"/>
  <c r="E88" i="77" s="1" a="1"/>
  <c r="E88" i="77" s="1"/>
  <c r="E126" i="77" s="1" a="1"/>
  <c r="E126" i="77" s="1"/>
  <c r="N64" i="77" a="1"/>
  <c r="N64" i="77" s="1"/>
  <c r="N85" i="77" s="1" a="1"/>
  <c r="N85" i="77" s="1"/>
  <c r="N123" i="77" s="1" a="1"/>
  <c r="N123" i="77" s="1"/>
  <c r="F65" i="77" a="1"/>
  <c r="F65" i="77" s="1"/>
  <c r="F86" i="77" s="1" a="1"/>
  <c r="F86" i="77" s="1"/>
  <c r="F124" i="77" s="1" a="1"/>
  <c r="F124" i="77" s="1"/>
  <c r="M67" i="77" a="1"/>
  <c r="M67" i="77" s="1"/>
  <c r="M88" i="77" s="1" a="1"/>
  <c r="M88" i="77" s="1"/>
  <c r="M126" i="77" s="1" a="1"/>
  <c r="M126" i="77" s="1"/>
  <c r="L64" i="77" a="1"/>
  <c r="L64" i="77" s="1"/>
  <c r="L85" i="77" s="1" a="1"/>
  <c r="L85" i="77" s="1"/>
  <c r="L123" i="77" s="1" a="1"/>
  <c r="L123" i="77" s="1"/>
  <c r="F67" i="77" a="1"/>
  <c r="F67" i="77" s="1"/>
  <c r="F88" i="77" s="1" a="1"/>
  <c r="F88" i="77" s="1"/>
  <c r="F126" i="77" s="1" a="1"/>
  <c r="F126" i="77" s="1"/>
  <c r="E48" i="77"/>
  <c r="E64" i="77" s="1" a="1"/>
  <c r="E64" i="77" s="1"/>
  <c r="E85" i="77" s="1" a="1"/>
  <c r="E85" i="77" s="1"/>
  <c r="E123" i="77" s="1" a="1"/>
  <c r="E123" i="77" s="1"/>
  <c r="N67" i="77" a="1"/>
  <c r="N67" i="77" s="1"/>
  <c r="N88" i="77" s="1" a="1"/>
  <c r="N88" i="77" s="1"/>
  <c r="N126" i="77" s="1" a="1"/>
  <c r="N126" i="77" s="1"/>
  <c r="N65" i="77" a="1"/>
  <c r="N65" i="77" s="1"/>
  <c r="N86" i="77" s="1" a="1"/>
  <c r="N86" i="77" s="1"/>
  <c r="N124" i="77" s="1" a="1"/>
  <c r="N124" i="77" s="1"/>
  <c r="J64" i="77" a="1"/>
  <c r="J64" i="77" s="1"/>
  <c r="J85" i="77" s="1" a="1"/>
  <c r="J85" i="77" s="1"/>
  <c r="J123" i="77" s="1" a="1"/>
  <c r="J123" i="77" s="1"/>
  <c r="I64" i="77" a="1"/>
  <c r="I64" i="77" s="1"/>
  <c r="I85" i="77" s="1" a="1"/>
  <c r="I85" i="77" s="1"/>
  <c r="I123" i="77" s="1" a="1"/>
  <c r="I123" i="77" s="1"/>
  <c r="H67" i="77" a="1"/>
  <c r="H67" i="77" s="1"/>
  <c r="H88" i="77" s="1" a="1"/>
  <c r="H88" i="77" s="1"/>
  <c r="H126" i="77" s="1" a="1"/>
  <c r="H126" i="77" s="1"/>
  <c r="J67" i="77" a="1"/>
  <c r="J67" i="77" s="1"/>
  <c r="J88" i="77" s="1" a="1"/>
  <c r="J88" i="77" s="1"/>
  <c r="J126" i="77" s="1" a="1"/>
  <c r="J126" i="77" s="1"/>
  <c r="I67" i="77" a="1"/>
  <c r="I67" i="77" s="1"/>
  <c r="I88" i="77" s="1" a="1"/>
  <c r="I88" i="77" s="1"/>
  <c r="I126" i="77" s="1" a="1"/>
  <c r="I126" i="77" s="1"/>
  <c r="Z80" i="77" a="1"/>
  <c r="Z80" i="77" s="1"/>
  <c r="Z101" i="77" s="1" a="1"/>
  <c r="Z101" i="77" s="1"/>
  <c r="Z153" i="77" s="1" a="1"/>
  <c r="Z153" i="77" s="1"/>
  <c r="Y87" i="77" a="1"/>
  <c r="Y87" i="77" s="1"/>
  <c r="Y108" i="77" s="1" a="1"/>
  <c r="Y108" i="77" s="1"/>
  <c r="Y160" i="77" s="1" a="1"/>
  <c r="Y160" i="77" s="1"/>
  <c r="AB78" i="80" a="1"/>
  <c r="AB78" i="80" s="1"/>
  <c r="AB133" i="80" s="1" a="1"/>
  <c r="AB133" i="80" s="1"/>
  <c r="Q50" i="104"/>
  <c r="O53" i="104" s="1" a="1"/>
  <c r="O53" i="104" s="1"/>
  <c r="F19" i="13" a="1"/>
  <c r="F19" i="13" s="1"/>
  <c r="I19" i="13" s="1" a="1"/>
  <c r="I19" i="13" s="1"/>
  <c r="E131" i="109"/>
  <c r="E145" i="109" s="1"/>
  <c r="E130" i="109"/>
  <c r="E144" i="109" s="1"/>
  <c r="E57" i="97"/>
  <c r="E25" i="13" s="1" a="1"/>
  <c r="E25" i="13" s="1"/>
  <c r="F25" i="13" s="1"/>
  <c r="I25" i="13" s="1" a="1"/>
  <c r="I25" i="13" s="1"/>
  <c r="E151" i="100"/>
  <c r="E192" i="100"/>
  <c r="E588" i="109" s="1"/>
  <c r="E56" i="97"/>
  <c r="E24" i="13" s="1" a="1"/>
  <c r="E24" i="13" s="1"/>
  <c r="F24" i="13" s="1"/>
  <c r="I24" i="13" s="1" a="1"/>
  <c r="I24" i="13" s="1"/>
  <c r="E69" i="96"/>
  <c r="E22" i="13" s="1" a="1"/>
  <c r="E22" i="13" s="1"/>
  <c r="F22" i="13" s="1"/>
  <c r="I22" i="13" s="1" a="1"/>
  <c r="I22" i="13" s="1"/>
  <c r="E58" i="97"/>
  <c r="I516" i="109" s="1"/>
  <c r="E68" i="96"/>
  <c r="E21" i="13" s="1" a="1"/>
  <c r="E21" i="13" s="1"/>
  <c r="H21" i="13" s="1" a="1"/>
  <c r="H21" i="13" s="1"/>
  <c r="E55" i="97"/>
  <c r="E23" i="13" s="1" a="1"/>
  <c r="E23" i="13" s="1"/>
  <c r="E67" i="96"/>
  <c r="E20" i="13" s="1" a="1"/>
  <c r="E20" i="13" s="1"/>
  <c r="H20" i="13" s="1"/>
  <c r="H13" i="13"/>
  <c r="AB184" i="80" a="1"/>
  <c r="AB184" i="80" s="1"/>
  <c r="AB258" i="80" s="1" a="1"/>
  <c r="AB258" i="80" s="1"/>
  <c r="J182" i="80" a="1"/>
  <c r="J182" i="80" s="1"/>
  <c r="J240" i="80" s="1" a="1"/>
  <c r="J240" i="80" s="1"/>
  <c r="I182" i="80" l="1" a="1"/>
  <c r="I182" i="80" s="1"/>
  <c r="I240" i="80" s="1" a="1"/>
  <c r="I240" i="80" s="1"/>
  <c r="I178" i="80" a="1"/>
  <c r="I178" i="80" s="1"/>
  <c r="I236" i="80" s="1" a="1"/>
  <c r="I236" i="80" s="1"/>
  <c r="AC193" i="80" a="1"/>
  <c r="AC193" i="80" s="1"/>
  <c r="AC267" i="80" s="1" a="1"/>
  <c r="AC267" i="80" s="1"/>
  <c r="AC181" i="80" a="1"/>
  <c r="AC181" i="80" s="1"/>
  <c r="AC255" i="80" s="1" a="1"/>
  <c r="AC255" i="80" s="1"/>
  <c r="AC185" i="80" a="1"/>
  <c r="AC185" i="80" s="1"/>
  <c r="AC259" i="80" s="1" a="1"/>
  <c r="AC259" i="80" s="1"/>
  <c r="I180" i="80" a="1"/>
  <c r="I180" i="80" s="1"/>
  <c r="I238" i="80" s="1" a="1"/>
  <c r="I238" i="80" s="1"/>
  <c r="AD189" i="80" a="1"/>
  <c r="AD189" i="80" s="1"/>
  <c r="AD263" i="80" s="1" a="1"/>
  <c r="AD263" i="80" s="1"/>
  <c r="J181" i="80" a="1"/>
  <c r="J181" i="80" s="1"/>
  <c r="J239" i="80" s="1" a="1"/>
  <c r="J239" i="80" s="1"/>
  <c r="AB186" i="80" a="1"/>
  <c r="AB186" i="80" s="1"/>
  <c r="AB260" i="80" s="1" a="1"/>
  <c r="AB260" i="80" s="1"/>
  <c r="AB191" i="80" a="1"/>
  <c r="AB191" i="80" s="1"/>
  <c r="AB265" i="80" s="1" a="1"/>
  <c r="AB265" i="80" s="1"/>
  <c r="AB179" i="80" a="1"/>
  <c r="AB179" i="80" s="1"/>
  <c r="AB253" i="80" s="1" a="1"/>
  <c r="AB253" i="80" s="1"/>
  <c r="AF182" i="80" a="1"/>
  <c r="AF182" i="80" s="1"/>
  <c r="AF256" i="80" s="1" a="1"/>
  <c r="AF256" i="80" s="1"/>
  <c r="AF194" i="80" a="1"/>
  <c r="AF194" i="80" s="1"/>
  <c r="AF268" i="80" s="1" a="1"/>
  <c r="AF268" i="80" s="1"/>
  <c r="AC180" i="80" a="1"/>
  <c r="AC180" i="80" s="1"/>
  <c r="AC254" i="80" s="1" a="1"/>
  <c r="AC254" i="80" s="1"/>
  <c r="AC192" i="80" a="1"/>
  <c r="AC192" i="80" s="1"/>
  <c r="AC266" i="80" s="1" a="1"/>
  <c r="AC266" i="80" s="1"/>
  <c r="AA196" i="80" a="1"/>
  <c r="AA196" i="80" s="1"/>
  <c r="AA270" i="80" s="1" a="1"/>
  <c r="AA270" i="80" s="1"/>
  <c r="AA184" i="80" a="1"/>
  <c r="AA184" i="80" s="1"/>
  <c r="AA258" i="80" s="1" a="1"/>
  <c r="AA258" i="80" s="1"/>
  <c r="AA197" i="80" a="1"/>
  <c r="AA197" i="80" s="1"/>
  <c r="AA271" i="80" s="1" a="1"/>
  <c r="AA271" i="80" s="1"/>
  <c r="AA185" i="80" a="1"/>
  <c r="AA185" i="80" s="1"/>
  <c r="AA259" i="80" s="1" a="1"/>
  <c r="AA259" i="80" s="1"/>
  <c r="Y178" i="80" a="1"/>
  <c r="Y178" i="80" s="1"/>
  <c r="Y252" i="80" s="1" a="1"/>
  <c r="Y252" i="80" s="1"/>
  <c r="Y190" i="80" a="1"/>
  <c r="Y190" i="80" s="1"/>
  <c r="Y264" i="80" s="1" a="1"/>
  <c r="Y264" i="80" s="1"/>
  <c r="AA179" i="80" a="1"/>
  <c r="AA179" i="80" s="1"/>
  <c r="AA253" i="80" s="1" a="1"/>
  <c r="AA253" i="80" s="1"/>
  <c r="AA191" i="80" a="1"/>
  <c r="AA191" i="80" s="1"/>
  <c r="AA265" i="80" s="1" a="1"/>
  <c r="AA265" i="80" s="1"/>
  <c r="AG197" i="80" a="1"/>
  <c r="AG197" i="80" s="1"/>
  <c r="AG271" i="80" s="1" a="1"/>
  <c r="AG271" i="80" s="1"/>
  <c r="AG185" i="80" a="1"/>
  <c r="AG185" i="80" s="1"/>
  <c r="AG259" i="80" s="1" a="1"/>
  <c r="AG259" i="80" s="1"/>
  <c r="AG182" i="80" a="1"/>
  <c r="AG182" i="80" s="1"/>
  <c r="AG256" i="80" s="1" a="1"/>
  <c r="AG256" i="80" s="1"/>
  <c r="AG194" i="80" a="1"/>
  <c r="AG194" i="80" s="1"/>
  <c r="AG268" i="80" s="1" a="1"/>
  <c r="AG268" i="80" s="1"/>
  <c r="G221" i="109" a="1"/>
  <c r="G221" i="109" s="1"/>
  <c r="E248" i="109" s="1"/>
  <c r="R45" i="85" a="1"/>
  <c r="R45" i="85" s="1"/>
  <c r="W45" i="85"/>
  <c r="O77" i="85" s="1" a="1"/>
  <c r="O77" i="85" s="1"/>
  <c r="P77" i="85" s="1" a="1"/>
  <c r="P77" i="85" s="1"/>
  <c r="S45" i="85" a="1"/>
  <c r="S45" i="85" s="1"/>
  <c r="T45" i="85"/>
  <c r="U45" i="85" s="1"/>
  <c r="Q45" i="85"/>
  <c r="Y179" i="80" a="1"/>
  <c r="Y179" i="80" s="1"/>
  <c r="Y253" i="80" s="1" a="1"/>
  <c r="Y253" i="80" s="1"/>
  <c r="Y191" i="80" a="1"/>
  <c r="Y191" i="80" s="1"/>
  <c r="Y265" i="80" s="1" a="1"/>
  <c r="Y265" i="80" s="1"/>
  <c r="O179" i="80" a="1"/>
  <c r="O179" i="80" s="1"/>
  <c r="O237" i="80" s="1" a="1"/>
  <c r="O237" i="80" s="1"/>
  <c r="O183" i="80" a="1"/>
  <c r="O183" i="80" s="1"/>
  <c r="O241" i="80" s="1" a="1"/>
  <c r="O241" i="80" s="1"/>
  <c r="M184" i="80" a="1"/>
  <c r="M184" i="80" s="1"/>
  <c r="M242" i="80" s="1" a="1"/>
  <c r="M242" i="80" s="1"/>
  <c r="M180" i="80" a="1"/>
  <c r="M180" i="80" s="1"/>
  <c r="M238" i="80" s="1" a="1"/>
  <c r="M238" i="80" s="1"/>
  <c r="F15" i="13"/>
  <c r="I15" i="13" s="1"/>
  <c r="H15" i="13"/>
  <c r="AE184" i="80" a="1"/>
  <c r="AE184" i="80" s="1"/>
  <c r="AE258" i="80" s="1" a="1"/>
  <c r="AE258" i="80" s="1"/>
  <c r="AE196" i="80" a="1"/>
  <c r="AE196" i="80" s="1"/>
  <c r="AE270" i="80" s="1" a="1"/>
  <c r="AE270" i="80" s="1"/>
  <c r="AG193" i="80" a="1"/>
  <c r="AG193" i="80" s="1"/>
  <c r="AG267" i="80" s="1" a="1"/>
  <c r="AG267" i="80" s="1"/>
  <c r="AG181" i="80" a="1"/>
  <c r="AG181" i="80" s="1"/>
  <c r="AG255" i="80" s="1" a="1"/>
  <c r="AG255" i="80" s="1"/>
  <c r="AF177" i="80" a="1"/>
  <c r="AF177" i="80" s="1"/>
  <c r="AF251" i="80" s="1" a="1"/>
  <c r="AF251" i="80" s="1"/>
  <c r="AF189" i="80" a="1"/>
  <c r="AF189" i="80" s="1"/>
  <c r="AF263" i="80" s="1" a="1"/>
  <c r="AF263" i="80" s="1"/>
  <c r="AA189" i="80" a="1"/>
  <c r="AA189" i="80" s="1"/>
  <c r="AA263" i="80" s="1" a="1"/>
  <c r="AA263" i="80" s="1"/>
  <c r="AA177" i="80" a="1"/>
  <c r="AA177" i="80" s="1"/>
  <c r="AA251" i="80" s="1" a="1"/>
  <c r="AA251" i="80" s="1"/>
  <c r="AG187" i="80" a="1"/>
  <c r="AG187" i="80" s="1"/>
  <c r="AG261" i="80" s="1" a="1"/>
  <c r="AG261" i="80" s="1"/>
  <c r="AG199" i="80" a="1"/>
  <c r="AG199" i="80" s="1"/>
  <c r="AG273" i="80" s="1" a="1"/>
  <c r="AG273" i="80" s="1"/>
  <c r="AG190" i="80" a="1"/>
  <c r="AG190" i="80" s="1"/>
  <c r="AG264" i="80" s="1" a="1"/>
  <c r="AG264" i="80" s="1"/>
  <c r="AG178" i="80" a="1"/>
  <c r="AG178" i="80" s="1"/>
  <c r="AG252" i="80" s="1" a="1"/>
  <c r="AG252" i="80" s="1"/>
  <c r="AE178" i="80" a="1"/>
  <c r="AE178" i="80" s="1"/>
  <c r="AE252" i="80" s="1" a="1"/>
  <c r="AE252" i="80" s="1"/>
  <c r="AE190" i="80" a="1"/>
  <c r="AE190" i="80" s="1"/>
  <c r="AE264" i="80" s="1" a="1"/>
  <c r="AE264" i="80" s="1"/>
  <c r="AB193" i="80" a="1"/>
  <c r="AB193" i="80" s="1"/>
  <c r="AB267" i="80" s="1" a="1"/>
  <c r="AB267" i="80" s="1"/>
  <c r="AB181" i="80" a="1"/>
  <c r="AB181" i="80" s="1"/>
  <c r="AB255" i="80" s="1" a="1"/>
  <c r="AB255" i="80" s="1"/>
  <c r="AF179" i="80" a="1"/>
  <c r="AF179" i="80" s="1"/>
  <c r="AF253" i="80" s="1" a="1"/>
  <c r="AF253" i="80" s="1"/>
  <c r="AF191" i="80" a="1"/>
  <c r="AF191" i="80" s="1"/>
  <c r="AF265" i="80" s="1" a="1"/>
  <c r="AF265" i="80" s="1"/>
  <c r="Y185" i="80" a="1"/>
  <c r="Y185" i="80" s="1"/>
  <c r="Y259" i="80" s="1" a="1"/>
  <c r="Y259" i="80" s="1"/>
  <c r="Y197" i="80" a="1"/>
  <c r="Y197" i="80" s="1"/>
  <c r="Y271" i="80" s="1" a="1"/>
  <c r="Y271" i="80" s="1"/>
  <c r="AF198" i="80" a="1"/>
  <c r="AF198" i="80" s="1"/>
  <c r="AF272" i="80" s="1" a="1"/>
  <c r="AF272" i="80" s="1"/>
  <c r="AF186" i="80" a="1"/>
  <c r="AF186" i="80" s="1"/>
  <c r="AF260" i="80" s="1" a="1"/>
  <c r="AF260" i="80" s="1"/>
  <c r="AH181" i="80" a="1"/>
  <c r="AH181" i="80" s="1"/>
  <c r="AH255" i="80" s="1" a="1"/>
  <c r="AH255" i="80" s="1"/>
  <c r="AH193" i="80" a="1"/>
  <c r="AH193" i="80" s="1"/>
  <c r="AH267" i="80" s="1" a="1"/>
  <c r="AH267" i="80" s="1"/>
  <c r="Z188" i="80" a="1"/>
  <c r="Z188" i="80" s="1"/>
  <c r="Z262" i="80" s="1" a="1"/>
  <c r="Z262" i="80" s="1"/>
  <c r="Z200" i="80" a="1"/>
  <c r="Z200" i="80" s="1"/>
  <c r="Z274" i="80" s="1" a="1"/>
  <c r="Z274" i="80" s="1"/>
  <c r="Y187" i="80" a="1"/>
  <c r="Y187" i="80" s="1"/>
  <c r="Y261" i="80" s="1" a="1"/>
  <c r="Y261" i="80" s="1"/>
  <c r="Y199" i="80" a="1"/>
  <c r="Y199" i="80" s="1"/>
  <c r="Y273" i="80" s="1" a="1"/>
  <c r="Y273" i="80" s="1"/>
  <c r="AB189" i="80" a="1"/>
  <c r="AB189" i="80" s="1"/>
  <c r="AB263" i="80" s="1" a="1"/>
  <c r="AB263" i="80" s="1"/>
  <c r="AB177" i="80" a="1"/>
  <c r="AB177" i="80" s="1"/>
  <c r="AB251" i="80" s="1" a="1"/>
  <c r="AB251" i="80" s="1"/>
  <c r="AB187" i="80" a="1"/>
  <c r="AB187" i="80" s="1"/>
  <c r="AB261" i="80" s="1" a="1"/>
  <c r="AB261" i="80" s="1"/>
  <c r="AB199" i="80" a="1"/>
  <c r="AB199" i="80" s="1"/>
  <c r="AB273" i="80" s="1" a="1"/>
  <c r="AB273" i="80" s="1"/>
  <c r="G181" i="80" a="1"/>
  <c r="G181" i="80" s="1"/>
  <c r="G239" i="80" s="1" a="1"/>
  <c r="G239" i="80" s="1"/>
  <c r="G177" i="80" a="1"/>
  <c r="G177" i="80" s="1"/>
  <c r="G235" i="80" s="1" a="1"/>
  <c r="G235" i="80" s="1"/>
  <c r="Y195" i="80" a="1"/>
  <c r="Y195" i="80" s="1"/>
  <c r="Y269" i="80" s="1" a="1"/>
  <c r="Y269" i="80" s="1"/>
  <c r="Y183" i="80" a="1"/>
  <c r="Y183" i="80" s="1"/>
  <c r="Y257" i="80" s="1" a="1"/>
  <c r="Y257" i="80" s="1"/>
  <c r="H184" i="80" a="1"/>
  <c r="H184" i="80" s="1"/>
  <c r="H242" i="80" s="1" a="1"/>
  <c r="H242" i="80" s="1"/>
  <c r="H180" i="80" a="1"/>
  <c r="H180" i="80" s="1"/>
  <c r="H238" i="80" s="1" a="1"/>
  <c r="H238" i="80" s="1"/>
  <c r="AD187" i="80" a="1"/>
  <c r="AD187" i="80" s="1"/>
  <c r="AD261" i="80" s="1" a="1"/>
  <c r="AD261" i="80" s="1"/>
  <c r="AD199" i="80" a="1"/>
  <c r="AD199" i="80" s="1"/>
  <c r="AD273" i="80" s="1" a="1"/>
  <c r="AD273" i="80" s="1"/>
  <c r="G178" i="80" a="1"/>
  <c r="G178" i="80" s="1"/>
  <c r="G236" i="80" s="1" a="1"/>
  <c r="G236" i="80" s="1"/>
  <c r="G182" i="80" a="1"/>
  <c r="G182" i="80" s="1"/>
  <c r="G240" i="80" s="1" a="1"/>
  <c r="G240" i="80" s="1"/>
  <c r="N177" i="80" a="1"/>
  <c r="N177" i="80" s="1"/>
  <c r="N235" i="80" s="1" a="1"/>
  <c r="N235" i="80" s="1"/>
  <c r="N181" i="80" a="1"/>
  <c r="N181" i="80" s="1"/>
  <c r="N239" i="80" s="1" a="1"/>
  <c r="N239" i="80" s="1"/>
  <c r="O180" i="80" a="1"/>
  <c r="O180" i="80" s="1"/>
  <c r="O238" i="80" s="1" a="1"/>
  <c r="O238" i="80" s="1"/>
  <c r="O184" i="80" a="1"/>
  <c r="O184" i="80" s="1"/>
  <c r="O242" i="80" s="1" a="1"/>
  <c r="O242" i="80" s="1"/>
  <c r="V161" i="77"/>
  <c r="X163" i="77" s="1"/>
  <c r="V166" i="77" s="1" a="1"/>
  <c r="V166" i="77" s="1"/>
  <c r="AE193" i="80" a="1"/>
  <c r="AE193" i="80" s="1"/>
  <c r="AE267" i="80" s="1" a="1"/>
  <c r="AE267" i="80" s="1"/>
  <c r="AE181" i="80" a="1"/>
  <c r="AE181" i="80" s="1"/>
  <c r="AE255" i="80" s="1" a="1"/>
  <c r="AE255" i="80" s="1"/>
  <c r="AH190" i="80" a="1"/>
  <c r="AH190" i="80" s="1"/>
  <c r="AH264" i="80" s="1" a="1"/>
  <c r="AH264" i="80" s="1"/>
  <c r="AH178" i="80" a="1"/>
  <c r="AH178" i="80" s="1"/>
  <c r="AH252" i="80" s="1" a="1"/>
  <c r="AH252" i="80" s="1"/>
  <c r="AE191" i="80" a="1"/>
  <c r="AE191" i="80" s="1"/>
  <c r="AE265" i="80" s="1" a="1"/>
  <c r="AE265" i="80" s="1"/>
  <c r="AE179" i="80" a="1"/>
  <c r="AE179" i="80" s="1"/>
  <c r="AE253" i="80" s="1" a="1"/>
  <c r="AE253" i="80" s="1"/>
  <c r="Z181" i="80" a="1"/>
  <c r="Z181" i="80" s="1"/>
  <c r="Z255" i="80" s="1" a="1"/>
  <c r="Z255" i="80" s="1"/>
  <c r="Z193" i="80" a="1"/>
  <c r="Z193" i="80" s="1"/>
  <c r="Z267" i="80" s="1" a="1"/>
  <c r="Z267" i="80" s="1"/>
  <c r="AH194" i="80" a="1"/>
  <c r="AH194" i="80" s="1"/>
  <c r="AH268" i="80" s="1" a="1"/>
  <c r="AH268" i="80" s="1"/>
  <c r="AH182" i="80" a="1"/>
  <c r="AH182" i="80" s="1"/>
  <c r="AH256" i="80" s="1" a="1"/>
  <c r="AH256" i="80" s="1"/>
  <c r="Z177" i="80" a="1"/>
  <c r="Z177" i="80" s="1"/>
  <c r="Z251" i="80" s="1" a="1"/>
  <c r="Z251" i="80" s="1"/>
  <c r="Z189" i="80" a="1"/>
  <c r="Z189" i="80" s="1"/>
  <c r="Z263" i="80" s="1" a="1"/>
  <c r="Z263" i="80" s="1"/>
  <c r="E146" i="89"/>
  <c r="AB195" i="80" a="1"/>
  <c r="AB195" i="80" s="1"/>
  <c r="AB269" i="80" s="1" a="1"/>
  <c r="AB269" i="80" s="1"/>
  <c r="AB183" i="80" a="1"/>
  <c r="AB183" i="80" s="1"/>
  <c r="AB257" i="80" s="1" a="1"/>
  <c r="AB257" i="80" s="1"/>
  <c r="F178" i="80" a="1"/>
  <c r="F178" i="80" s="1"/>
  <c r="F236" i="80" s="1" a="1"/>
  <c r="F236" i="80" s="1"/>
  <c r="F182" i="80" a="1"/>
  <c r="F182" i="80" s="1"/>
  <c r="F240" i="80" s="1" a="1"/>
  <c r="F240" i="80" s="1"/>
  <c r="E518" i="109" a="1"/>
  <c r="E518" i="109" s="1"/>
  <c r="H177" i="80" a="1"/>
  <c r="H177" i="80" s="1"/>
  <c r="H235" i="80" s="1" a="1"/>
  <c r="H235" i="80" s="1"/>
  <c r="H181" i="80" a="1"/>
  <c r="H181" i="80" s="1"/>
  <c r="H239" i="80" s="1" a="1"/>
  <c r="H239" i="80" s="1"/>
  <c r="AD200" i="80" a="1"/>
  <c r="AD200" i="80" s="1"/>
  <c r="AD274" i="80" s="1" a="1"/>
  <c r="AD274" i="80" s="1"/>
  <c r="AD188" i="80" a="1"/>
  <c r="AD188" i="80" s="1"/>
  <c r="AD262" i="80" s="1" a="1"/>
  <c r="AD262" i="80" s="1"/>
  <c r="N184" i="80" a="1"/>
  <c r="N184" i="80" s="1"/>
  <c r="N242" i="80" s="1" a="1"/>
  <c r="N242" i="80" s="1"/>
  <c r="N180" i="80" a="1"/>
  <c r="N180" i="80" s="1"/>
  <c r="N238" i="80" s="1" a="1"/>
  <c r="N238" i="80" s="1"/>
  <c r="L181" i="80" a="1"/>
  <c r="L181" i="80" s="1"/>
  <c r="L239" i="80" s="1" a="1"/>
  <c r="L239" i="80" s="1"/>
  <c r="L177" i="80" a="1"/>
  <c r="L177" i="80" s="1"/>
  <c r="L235" i="80" s="1" a="1"/>
  <c r="L235" i="80" s="1"/>
  <c r="AH200" i="80" a="1"/>
  <c r="AH200" i="80" s="1"/>
  <c r="AH274" i="80" s="1" a="1"/>
  <c r="AH274" i="80" s="1"/>
  <c r="AH188" i="80" a="1"/>
  <c r="AH188" i="80" s="1"/>
  <c r="AH262" i="80" s="1" a="1"/>
  <c r="AH262" i="80" s="1"/>
  <c r="AG177" i="80" a="1"/>
  <c r="AG177" i="80" s="1"/>
  <c r="AG251" i="80" s="1" a="1"/>
  <c r="AG251" i="80" s="1"/>
  <c r="AG189" i="80" a="1"/>
  <c r="AG189" i="80" s="1"/>
  <c r="AG263" i="80" s="1" a="1"/>
  <c r="AG263" i="80" s="1"/>
  <c r="Z182" i="80" a="1"/>
  <c r="Z182" i="80" s="1"/>
  <c r="Z256" i="80" s="1" a="1"/>
  <c r="Z256" i="80" s="1"/>
  <c r="Z194" i="80" a="1"/>
  <c r="Z194" i="80" s="1"/>
  <c r="Z268" i="80" s="1" a="1"/>
  <c r="Z268" i="80" s="1"/>
  <c r="AF181" i="80" a="1"/>
  <c r="AF181" i="80" s="1"/>
  <c r="AF255" i="80" s="1" a="1"/>
  <c r="AF255" i="80" s="1"/>
  <c r="AF193" i="80" a="1"/>
  <c r="AF193" i="80" s="1"/>
  <c r="AF267" i="80" s="1" a="1"/>
  <c r="AF267" i="80" s="1"/>
  <c r="AF184" i="80" a="1"/>
  <c r="AF184" i="80" s="1"/>
  <c r="AF258" i="80" s="1" a="1"/>
  <c r="AF258" i="80" s="1"/>
  <c r="AF196" i="80" a="1"/>
  <c r="AF196" i="80" s="1"/>
  <c r="AF270" i="80" s="1" a="1"/>
  <c r="AF270" i="80" s="1"/>
  <c r="AH184" i="80" a="1"/>
  <c r="AH184" i="80" s="1"/>
  <c r="AH258" i="80" s="1" a="1"/>
  <c r="AH258" i="80" s="1"/>
  <c r="AH196" i="80" a="1"/>
  <c r="AH196" i="80" s="1"/>
  <c r="AH270" i="80" s="1" a="1"/>
  <c r="AH270" i="80" s="1"/>
  <c r="K181" i="80" a="1"/>
  <c r="K181" i="80" s="1"/>
  <c r="K239" i="80" s="1" a="1"/>
  <c r="K239" i="80" s="1"/>
  <c r="K177" i="80" a="1"/>
  <c r="K177" i="80" s="1"/>
  <c r="K235" i="80" s="1" a="1"/>
  <c r="K235" i="80" s="1"/>
  <c r="AE197" i="80" a="1"/>
  <c r="AE197" i="80" s="1"/>
  <c r="AE271" i="80" s="1" a="1"/>
  <c r="AE271" i="80" s="1"/>
  <c r="AE185" i="80" a="1"/>
  <c r="AE185" i="80" s="1"/>
  <c r="AE259" i="80" s="1" a="1"/>
  <c r="AE259" i="80" s="1"/>
  <c r="G180" i="80" a="1"/>
  <c r="G180" i="80" s="1"/>
  <c r="G238" i="80" s="1" a="1"/>
  <c r="G238" i="80" s="1"/>
  <c r="G184" i="80" a="1"/>
  <c r="G184" i="80" s="1"/>
  <c r="G242" i="80" s="1" a="1"/>
  <c r="G242" i="80" s="1"/>
  <c r="AD193" i="80" a="1"/>
  <c r="AD193" i="80" s="1"/>
  <c r="AD267" i="80" s="1" a="1"/>
  <c r="AD267" i="80" s="1"/>
  <c r="AD181" i="80" a="1"/>
  <c r="AD181" i="80" s="1"/>
  <c r="AD255" i="80" s="1" a="1"/>
  <c r="AD255" i="80" s="1"/>
  <c r="L182" i="80" a="1"/>
  <c r="L182" i="80" s="1"/>
  <c r="L240" i="80" s="1" a="1"/>
  <c r="L240" i="80" s="1"/>
  <c r="L178" i="80" a="1"/>
  <c r="L178" i="80" s="1"/>
  <c r="L236" i="80" s="1" a="1"/>
  <c r="L236" i="80" s="1"/>
  <c r="AC191" i="80" a="1"/>
  <c r="AC191" i="80" s="1"/>
  <c r="AC265" i="80" s="1" a="1"/>
  <c r="AC265" i="80" s="1"/>
  <c r="AC179" i="80" a="1"/>
  <c r="AC179" i="80" s="1"/>
  <c r="AC253" i="80" s="1" a="1"/>
  <c r="AC253" i="80" s="1"/>
  <c r="F181" i="80" a="1"/>
  <c r="F181" i="80" s="1"/>
  <c r="F239" i="80" s="1" a="1"/>
  <c r="F239" i="80" s="1"/>
  <c r="F177" i="80" a="1"/>
  <c r="F177" i="80" s="1"/>
  <c r="F235" i="80" s="1" a="1"/>
  <c r="F235" i="80" s="1"/>
  <c r="L184" i="80" a="1"/>
  <c r="L184" i="80" s="1"/>
  <c r="L242" i="80" s="1" a="1"/>
  <c r="L242" i="80" s="1"/>
  <c r="L180" i="80" a="1"/>
  <c r="L180" i="80" s="1"/>
  <c r="L238" i="80" s="1" a="1"/>
  <c r="L238" i="80" s="1"/>
  <c r="I181" i="80" a="1"/>
  <c r="I181" i="80" s="1"/>
  <c r="I239" i="80" s="1" a="1"/>
  <c r="I239" i="80" s="1"/>
  <c r="I177" i="80" a="1"/>
  <c r="I177" i="80" s="1"/>
  <c r="I235" i="80" s="1" a="1"/>
  <c r="I235" i="80" s="1"/>
  <c r="Y194" i="80" a="1"/>
  <c r="Y194" i="80" s="1"/>
  <c r="Y268" i="80" s="1" a="1"/>
  <c r="Y268" i="80" s="1"/>
  <c r="Y182" i="80" a="1"/>
  <c r="Y182" i="80" s="1"/>
  <c r="Y256" i="80" s="1" a="1"/>
  <c r="Y256" i="80" s="1"/>
  <c r="AF188" i="80" a="1"/>
  <c r="AF188" i="80" s="1"/>
  <c r="AF262" i="80" s="1" a="1"/>
  <c r="AF262" i="80" s="1"/>
  <c r="AF200" i="80" a="1"/>
  <c r="AF200" i="80" s="1"/>
  <c r="AF274" i="80" s="1" a="1"/>
  <c r="AF274" i="80" s="1"/>
  <c r="AA183" i="80" a="1"/>
  <c r="AA183" i="80" s="1"/>
  <c r="AA257" i="80" s="1" a="1"/>
  <c r="AA257" i="80" s="1"/>
  <c r="AA195" i="80" a="1"/>
  <c r="AA195" i="80" s="1"/>
  <c r="AA269" i="80" s="1" a="1"/>
  <c r="AA269" i="80" s="1"/>
  <c r="AA187" i="80" a="1"/>
  <c r="AA187" i="80" s="1"/>
  <c r="AA261" i="80" s="1" a="1"/>
  <c r="AA261" i="80" s="1"/>
  <c r="AA199" i="80" a="1"/>
  <c r="AA199" i="80" s="1"/>
  <c r="AA273" i="80" s="1" a="1"/>
  <c r="AA273" i="80" s="1"/>
  <c r="AG200" i="80" a="1"/>
  <c r="AG200" i="80" s="1"/>
  <c r="AG274" i="80" s="1" a="1"/>
  <c r="AG274" i="80" s="1"/>
  <c r="AG188" i="80" a="1"/>
  <c r="AG188" i="80" s="1"/>
  <c r="AG262" i="80" s="1" a="1"/>
  <c r="AG262" i="80" s="1"/>
  <c r="AG198" i="80" a="1"/>
  <c r="AG198" i="80" s="1"/>
  <c r="AG272" i="80" s="1" a="1"/>
  <c r="AG272" i="80" s="1"/>
  <c r="AG186" i="80" a="1"/>
  <c r="AG186" i="80" s="1"/>
  <c r="AG260" i="80" s="1" a="1"/>
  <c r="AG260" i="80" s="1"/>
  <c r="AB190" i="80" a="1"/>
  <c r="AB190" i="80" s="1"/>
  <c r="AB264" i="80" s="1" a="1"/>
  <c r="AB264" i="80" s="1"/>
  <c r="AB178" i="80" a="1"/>
  <c r="AB178" i="80" s="1"/>
  <c r="AB252" i="80" s="1" a="1"/>
  <c r="AB252" i="80" s="1"/>
  <c r="K178" i="80" a="1"/>
  <c r="K178" i="80" s="1"/>
  <c r="K236" i="80" s="1" a="1"/>
  <c r="K236" i="80" s="1"/>
  <c r="K182" i="80" a="1"/>
  <c r="K182" i="80" s="1"/>
  <c r="K240" i="80" s="1" a="1"/>
  <c r="K240" i="80" s="1"/>
  <c r="AB197" i="80" a="1"/>
  <c r="AB197" i="80" s="1"/>
  <c r="AB271" i="80" s="1" a="1"/>
  <c r="AB271" i="80" s="1"/>
  <c r="AB185" i="80" a="1"/>
  <c r="AB185" i="80" s="1"/>
  <c r="AB259" i="80" s="1" a="1"/>
  <c r="AB259" i="80" s="1"/>
  <c r="AH179" i="80" a="1"/>
  <c r="AH179" i="80" s="1"/>
  <c r="AH253" i="80" s="1" a="1"/>
  <c r="AH253" i="80" s="1"/>
  <c r="AH191" i="80" a="1"/>
  <c r="AH191" i="80" s="1"/>
  <c r="AH265" i="80" s="1" a="1"/>
  <c r="AH265" i="80" s="1"/>
  <c r="AG184" i="80" a="1"/>
  <c r="AG184" i="80" s="1"/>
  <c r="AG258" i="80" s="1" a="1"/>
  <c r="AG258" i="80" s="1"/>
  <c r="AG196" i="80" a="1"/>
  <c r="AG196" i="80" s="1"/>
  <c r="AG270" i="80" s="1" a="1"/>
  <c r="AG270" i="80" s="1"/>
  <c r="K179" i="80" a="1"/>
  <c r="K179" i="80" s="1"/>
  <c r="K237" i="80" s="1" a="1"/>
  <c r="K237" i="80" s="1"/>
  <c r="K183" i="80" a="1"/>
  <c r="K183" i="80" s="1"/>
  <c r="K241" i="80" s="1" a="1"/>
  <c r="K241" i="80" s="1"/>
  <c r="I183" i="80" a="1"/>
  <c r="I183" i="80" s="1"/>
  <c r="I241" i="80" s="1" a="1"/>
  <c r="I241" i="80" s="1"/>
  <c r="I179" i="80" a="1"/>
  <c r="I179" i="80" s="1"/>
  <c r="I237" i="80" s="1" a="1"/>
  <c r="I237" i="80" s="1"/>
  <c r="M182" i="80" a="1"/>
  <c r="M182" i="80" s="1"/>
  <c r="M240" i="80" s="1" a="1"/>
  <c r="M240" i="80" s="1"/>
  <c r="M178" i="80" a="1"/>
  <c r="M178" i="80" s="1"/>
  <c r="M236" i="80" s="1" a="1"/>
  <c r="M236" i="80" s="1"/>
  <c r="O182" i="80" a="1"/>
  <c r="O182" i="80" s="1"/>
  <c r="O240" i="80" s="1" a="1"/>
  <c r="O240" i="80" s="1"/>
  <c r="O178" i="80" a="1"/>
  <c r="O178" i="80" s="1"/>
  <c r="O236" i="80" s="1" a="1"/>
  <c r="O236" i="80" s="1"/>
  <c r="F14" i="13"/>
  <c r="I14" i="13" s="1" a="1"/>
  <c r="I14" i="13" s="1"/>
  <c r="H14" i="13" a="1"/>
  <c r="H14" i="13" s="1"/>
  <c r="AH183" i="80" a="1"/>
  <c r="AH183" i="80" s="1"/>
  <c r="AH257" i="80" s="1" a="1"/>
  <c r="AH257" i="80" s="1"/>
  <c r="AH195" i="80" a="1"/>
  <c r="AH195" i="80" s="1"/>
  <c r="AH269" i="80" s="1" a="1"/>
  <c r="AH269" i="80" s="1"/>
  <c r="Y189" i="80" a="1"/>
  <c r="Y189" i="80" s="1"/>
  <c r="Y263" i="80" s="1" a="1"/>
  <c r="Y263" i="80" s="1"/>
  <c r="Y177" i="80" a="1"/>
  <c r="Y177" i="80" s="1"/>
  <c r="Y251" i="80" s="1" a="1"/>
  <c r="Y251" i="80" s="1"/>
  <c r="Z191" i="80" a="1"/>
  <c r="Z191" i="80" s="1"/>
  <c r="Z265" i="80" s="1" a="1"/>
  <c r="Z265" i="80" s="1"/>
  <c r="Z179" i="80" a="1"/>
  <c r="Z179" i="80" s="1"/>
  <c r="Z253" i="80" s="1" a="1"/>
  <c r="Z253" i="80" s="1"/>
  <c r="Z184" i="80" a="1"/>
  <c r="Z184" i="80" s="1"/>
  <c r="Z258" i="80" s="1" a="1"/>
  <c r="Z258" i="80" s="1"/>
  <c r="Z196" i="80" a="1"/>
  <c r="Z196" i="80" s="1"/>
  <c r="Z270" i="80" s="1" a="1"/>
  <c r="Z270" i="80" s="1"/>
  <c r="P79" i="85" a="1"/>
  <c r="P79" i="85" s="1"/>
  <c r="AB200" i="80" a="1"/>
  <c r="AB200" i="80" s="1"/>
  <c r="AB274" i="80" s="1" a="1"/>
  <c r="AB274" i="80" s="1"/>
  <c r="AB188" i="80" a="1"/>
  <c r="AB188" i="80" s="1"/>
  <c r="AB262" i="80" s="1" a="1"/>
  <c r="AB262" i="80" s="1"/>
  <c r="E43" i="90"/>
  <c r="J89" i="90" s="1"/>
  <c r="E94" i="90" s="1" a="1"/>
  <c r="E94" i="90" s="1"/>
  <c r="G96" i="90" s="1"/>
  <c r="E99" i="90" s="1" a="1"/>
  <c r="E99" i="90" s="1"/>
  <c r="AC188" i="80" a="1"/>
  <c r="AC188" i="80" s="1"/>
  <c r="AC262" i="80" s="1" a="1"/>
  <c r="AC262" i="80" s="1"/>
  <c r="AC200" i="80" a="1"/>
  <c r="AC200" i="80" s="1"/>
  <c r="AC274" i="80" s="1" a="1"/>
  <c r="AC274" i="80" s="1"/>
  <c r="AA200" i="80" a="1"/>
  <c r="AA200" i="80" s="1"/>
  <c r="AA274" i="80" s="1" a="1"/>
  <c r="AA274" i="80" s="1"/>
  <c r="AA188" i="80" a="1"/>
  <c r="AA188" i="80" s="1"/>
  <c r="AA262" i="80" s="1" a="1"/>
  <c r="AA262" i="80" s="1"/>
  <c r="F183" i="80" a="1"/>
  <c r="F183" i="80" s="1"/>
  <c r="F241" i="80" s="1" a="1"/>
  <c r="F241" i="80" s="1"/>
  <c r="F179" i="80" a="1"/>
  <c r="F179" i="80" s="1"/>
  <c r="F237" i="80" s="1" a="1"/>
  <c r="F237" i="80" s="1"/>
  <c r="AB192" i="80" a="1"/>
  <c r="AB192" i="80" s="1"/>
  <c r="AB266" i="80" s="1" a="1"/>
  <c r="AB266" i="80" s="1"/>
  <c r="AB180" i="80" a="1"/>
  <c r="AB180" i="80" s="1"/>
  <c r="AB254" i="80" s="1" a="1"/>
  <c r="AB254" i="80" s="1"/>
  <c r="AF199" i="80" a="1"/>
  <c r="AF199" i="80" s="1"/>
  <c r="AF273" i="80" s="1" a="1"/>
  <c r="AF273" i="80" s="1"/>
  <c r="AF187" i="80" a="1"/>
  <c r="AF187" i="80" s="1"/>
  <c r="AF261" i="80" s="1" a="1"/>
  <c r="AF261" i="80" s="1"/>
  <c r="AF195" i="80" a="1"/>
  <c r="AF195" i="80" s="1"/>
  <c r="AF269" i="80" s="1" a="1"/>
  <c r="AF269" i="80" s="1"/>
  <c r="AF183" i="80" a="1"/>
  <c r="AF183" i="80" s="1"/>
  <c r="AF257" i="80" s="1" a="1"/>
  <c r="AF257" i="80" s="1"/>
  <c r="AA178" i="80" a="1"/>
  <c r="AA178" i="80" s="1"/>
  <c r="AA252" i="80" s="1" a="1"/>
  <c r="AA252" i="80" s="1"/>
  <c r="AA190" i="80" a="1"/>
  <c r="AA190" i="80" s="1"/>
  <c r="AA264" i="80" s="1" a="1"/>
  <c r="AA264" i="80" s="1"/>
  <c r="AF190" i="80" a="1"/>
  <c r="AF190" i="80" s="1"/>
  <c r="AF264" i="80" s="1" a="1"/>
  <c r="AF264" i="80" s="1"/>
  <c r="AF178" i="80" a="1"/>
  <c r="AF178" i="80" s="1"/>
  <c r="AF252" i="80" s="1" a="1"/>
  <c r="AF252" i="80" s="1"/>
  <c r="Z197" i="80" a="1"/>
  <c r="Z197" i="80" s="1"/>
  <c r="Z271" i="80" s="1" a="1"/>
  <c r="Z271" i="80" s="1"/>
  <c r="Z185" i="80" a="1"/>
  <c r="Z185" i="80" s="1"/>
  <c r="Z259" i="80" s="1" a="1"/>
  <c r="Z259" i="80" s="1"/>
  <c r="AE182" i="80" a="1"/>
  <c r="AE182" i="80" s="1"/>
  <c r="AE256" i="80" s="1" a="1"/>
  <c r="AE256" i="80" s="1"/>
  <c r="AE194" i="80" a="1"/>
  <c r="AE194" i="80" s="1"/>
  <c r="AE268" i="80" s="1" a="1"/>
  <c r="AE268" i="80" s="1"/>
  <c r="J179" i="80" a="1"/>
  <c r="J179" i="80" s="1"/>
  <c r="J237" i="80" s="1" a="1"/>
  <c r="J237" i="80" s="1"/>
  <c r="J183" i="80" a="1"/>
  <c r="J183" i="80" s="1"/>
  <c r="J241" i="80" s="1" a="1"/>
  <c r="J241" i="80" s="1"/>
  <c r="E79" i="89"/>
  <c r="G81" i="89" s="1"/>
  <c r="E84" i="89" s="1" a="1"/>
  <c r="E84" i="89" s="1"/>
  <c r="Z187" i="80" a="1"/>
  <c r="Z187" i="80" s="1"/>
  <c r="Z261" i="80" s="1" a="1"/>
  <c r="Z261" i="80" s="1"/>
  <c r="Z199" i="80" a="1"/>
  <c r="Z199" i="80" s="1"/>
  <c r="Z273" i="80" s="1" a="1"/>
  <c r="Z273" i="80" s="1"/>
  <c r="H178" i="80" a="1"/>
  <c r="H178" i="80" s="1"/>
  <c r="H236" i="80" s="1" a="1"/>
  <c r="H236" i="80" s="1"/>
  <c r="H182" i="80" a="1"/>
  <c r="H182" i="80" s="1"/>
  <c r="H240" i="80" s="1" a="1"/>
  <c r="H240" i="80" s="1"/>
  <c r="AC186" i="80" a="1"/>
  <c r="AC186" i="80" s="1"/>
  <c r="AC260" i="80" s="1" a="1"/>
  <c r="AC260" i="80" s="1"/>
  <c r="N182" i="80" a="1"/>
  <c r="N182" i="80" s="1"/>
  <c r="N240" i="80" s="1" a="1"/>
  <c r="N240" i="80" s="1"/>
  <c r="N178" i="80" a="1"/>
  <c r="N178" i="80" s="1"/>
  <c r="N236" i="80" s="1" a="1"/>
  <c r="N236" i="80" s="1"/>
  <c r="G179" i="80" a="1"/>
  <c r="G179" i="80" s="1"/>
  <c r="G237" i="80" s="1" a="1"/>
  <c r="G237" i="80" s="1"/>
  <c r="G183" i="80" a="1"/>
  <c r="G183" i="80" s="1"/>
  <c r="G241" i="80" s="1" a="1"/>
  <c r="G241" i="80" s="1"/>
  <c r="AD179" i="80" a="1"/>
  <c r="AD179" i="80" s="1"/>
  <c r="AD253" i="80" s="1" a="1"/>
  <c r="AD253" i="80" s="1"/>
  <c r="AD191" i="80" a="1"/>
  <c r="AD191" i="80" s="1"/>
  <c r="AD265" i="80" s="1" a="1"/>
  <c r="AD265" i="80" s="1"/>
  <c r="AC194" i="80" a="1"/>
  <c r="AC194" i="80" s="1"/>
  <c r="AC268" i="80" s="1" a="1"/>
  <c r="AC268" i="80" s="1"/>
  <c r="AC182" i="80" a="1"/>
  <c r="AC182" i="80" s="1"/>
  <c r="AC256" i="80" s="1" a="1"/>
  <c r="AC256" i="80" s="1"/>
  <c r="Z178" i="80" a="1"/>
  <c r="Z178" i="80" s="1"/>
  <c r="Z252" i="80" s="1" a="1"/>
  <c r="Z252" i="80" s="1"/>
  <c r="Z190" i="80" a="1"/>
  <c r="Z190" i="80" s="1"/>
  <c r="Z264" i="80" s="1" a="1"/>
  <c r="Z264" i="80" s="1"/>
  <c r="Z192" i="80" a="1"/>
  <c r="Z192" i="80" s="1"/>
  <c r="Z266" i="80" s="1" a="1"/>
  <c r="Z266" i="80" s="1"/>
  <c r="Z180" i="80" a="1"/>
  <c r="Z180" i="80" s="1"/>
  <c r="Z254" i="80" s="1" a="1"/>
  <c r="Z254" i="80" s="1"/>
  <c r="AG191" i="80" a="1"/>
  <c r="AG191" i="80" s="1"/>
  <c r="AG265" i="80" s="1" a="1"/>
  <c r="AG265" i="80" s="1"/>
  <c r="AG179" i="80" a="1"/>
  <c r="AG179" i="80" s="1"/>
  <c r="AG253" i="80" s="1" a="1"/>
  <c r="AG253" i="80" s="1"/>
  <c r="AH192" i="80" a="1"/>
  <c r="AH192" i="80" s="1"/>
  <c r="AH266" i="80" s="1" a="1"/>
  <c r="AH266" i="80" s="1"/>
  <c r="AH180" i="80" a="1"/>
  <c r="AH180" i="80" s="1"/>
  <c r="AH254" i="80" s="1" a="1"/>
  <c r="AH254" i="80" s="1"/>
  <c r="AA181" i="80" a="1"/>
  <c r="AA181" i="80" s="1"/>
  <c r="AA255" i="80" s="1" a="1"/>
  <c r="AA255" i="80" s="1"/>
  <c r="AA193" i="80" a="1"/>
  <c r="AA193" i="80" s="1"/>
  <c r="AA267" i="80" s="1" a="1"/>
  <c r="AA267" i="80" s="1"/>
  <c r="E80" i="85"/>
  <c r="AC195" i="80" a="1"/>
  <c r="AC195" i="80" s="1"/>
  <c r="AC269" i="80" s="1" a="1"/>
  <c r="AC269" i="80" s="1"/>
  <c r="AC183" i="80" a="1"/>
  <c r="AC183" i="80" s="1"/>
  <c r="AC257" i="80" s="1" a="1"/>
  <c r="AC257" i="80" s="1"/>
  <c r="AA180" i="80" a="1"/>
  <c r="AA180" i="80" s="1"/>
  <c r="AA254" i="80" s="1" a="1"/>
  <c r="AA254" i="80" s="1"/>
  <c r="AA192" i="80" a="1"/>
  <c r="AA192" i="80" s="1"/>
  <c r="AA266" i="80" s="1" a="1"/>
  <c r="AA266" i="80" s="1"/>
  <c r="AF185" i="80" a="1"/>
  <c r="AF185" i="80" s="1"/>
  <c r="AF259" i="80" s="1" a="1"/>
  <c r="AF259" i="80" s="1"/>
  <c r="AF197" i="80" a="1"/>
  <c r="AF197" i="80" s="1"/>
  <c r="AF271" i="80" s="1" a="1"/>
  <c r="AF271" i="80" s="1"/>
  <c r="Y192" i="80" a="1"/>
  <c r="Y192" i="80" s="1"/>
  <c r="Y266" i="80" s="1" a="1"/>
  <c r="Y266" i="80" s="1"/>
  <c r="Y180" i="80" a="1"/>
  <c r="Y180" i="80" s="1"/>
  <c r="Y254" i="80" s="1" a="1"/>
  <c r="Y254" i="80" s="1"/>
  <c r="AE187" i="80" a="1"/>
  <c r="AE187" i="80" s="1"/>
  <c r="AE261" i="80" s="1" a="1"/>
  <c r="AE261" i="80" s="1"/>
  <c r="AE199" i="80" a="1"/>
  <c r="AE199" i="80" s="1"/>
  <c r="AE273" i="80" s="1" a="1"/>
  <c r="AE273" i="80" s="1"/>
  <c r="AE198" i="80" a="1"/>
  <c r="AE198" i="80" s="1"/>
  <c r="AE272" i="80" s="1" a="1"/>
  <c r="AE272" i="80" s="1"/>
  <c r="AE186" i="80" a="1"/>
  <c r="AE186" i="80" s="1"/>
  <c r="AE260" i="80" s="1" a="1"/>
  <c r="AE260" i="80" s="1"/>
  <c r="AF180" i="80" a="1"/>
  <c r="AF180" i="80" s="1"/>
  <c r="AF254" i="80" s="1" a="1"/>
  <c r="AF254" i="80" s="1"/>
  <c r="AF192" i="80" a="1"/>
  <c r="AF192" i="80" s="1"/>
  <c r="AF266" i="80" s="1" a="1"/>
  <c r="AF266" i="80" s="1"/>
  <c r="AC196" i="80" a="1"/>
  <c r="AC196" i="80" s="1"/>
  <c r="AC270" i="80" s="1" a="1"/>
  <c r="AC270" i="80" s="1"/>
  <c r="AC184" i="80" a="1"/>
  <c r="AC184" i="80" s="1"/>
  <c r="AC258" i="80" s="1" a="1"/>
  <c r="AC258" i="80" s="1"/>
  <c r="O177" i="80" a="1"/>
  <c r="O177" i="80" s="1"/>
  <c r="O235" i="80" s="1" a="1"/>
  <c r="O235" i="80" s="1"/>
  <c r="O181" i="80" a="1"/>
  <c r="O181" i="80" s="1"/>
  <c r="O239" i="80" s="1" a="1"/>
  <c r="O239" i="80" s="1"/>
  <c r="E25" i="72"/>
  <c r="F64" i="13" s="1"/>
  <c r="E26" i="72"/>
  <c r="AD182" i="80" a="1"/>
  <c r="AD182" i="80" s="1"/>
  <c r="AD256" i="80" s="1" a="1"/>
  <c r="AD256" i="80" s="1"/>
  <c r="AD194" i="80" a="1"/>
  <c r="AD194" i="80" s="1"/>
  <c r="AD268" i="80" s="1" a="1"/>
  <c r="AD268" i="80" s="1"/>
  <c r="M183" i="80" a="1"/>
  <c r="M183" i="80" s="1"/>
  <c r="M241" i="80" s="1" a="1"/>
  <c r="M241" i="80" s="1"/>
  <c r="M179" i="80" a="1"/>
  <c r="M179" i="80" s="1"/>
  <c r="M237" i="80" s="1" a="1"/>
  <c r="M237" i="80" s="1"/>
  <c r="H179" i="80" a="1"/>
  <c r="H179" i="80" s="1"/>
  <c r="H237" i="80" s="1" a="1"/>
  <c r="H237" i="80" s="1"/>
  <c r="H183" i="80" a="1"/>
  <c r="H183" i="80" s="1"/>
  <c r="H241" i="80" s="1" a="1"/>
  <c r="H241" i="80" s="1"/>
  <c r="AC190" i="80" a="1"/>
  <c r="AC190" i="80" s="1"/>
  <c r="AC264" i="80" s="1" a="1"/>
  <c r="AC264" i="80" s="1"/>
  <c r="AC178" i="80" a="1"/>
  <c r="AC178" i="80" s="1"/>
  <c r="AC252" i="80" s="1" a="1"/>
  <c r="AC252" i="80" s="1"/>
  <c r="AC177" i="80" a="1"/>
  <c r="AC177" i="80" s="1"/>
  <c r="AC251" i="80" s="1" a="1"/>
  <c r="AC251" i="80" s="1"/>
  <c r="AC189" i="80" a="1"/>
  <c r="AC189" i="80" s="1"/>
  <c r="AC263" i="80" s="1" a="1"/>
  <c r="AC263" i="80" s="1"/>
  <c r="AD183" i="80" a="1"/>
  <c r="AD183" i="80" s="1"/>
  <c r="AD257" i="80" s="1" a="1"/>
  <c r="AD257" i="80" s="1"/>
  <c r="AD195" i="80" a="1"/>
  <c r="AD195" i="80" s="1"/>
  <c r="AD269" i="80" s="1" a="1"/>
  <c r="AD269" i="80" s="1"/>
  <c r="Y188" i="80" a="1"/>
  <c r="Y188" i="80" s="1"/>
  <c r="Y262" i="80" s="1" a="1"/>
  <c r="Y262" i="80" s="1"/>
  <c r="Y200" i="80" a="1"/>
  <c r="Y200" i="80" s="1"/>
  <c r="Y274" i="80" s="1" a="1"/>
  <c r="Y274" i="80" s="1"/>
  <c r="AH186" i="80" a="1"/>
  <c r="AH186" i="80" s="1"/>
  <c r="AH260" i="80" s="1" a="1"/>
  <c r="AH260" i="80" s="1"/>
  <c r="AH198" i="80" a="1"/>
  <c r="AH198" i="80" s="1"/>
  <c r="AH272" i="80" s="1" a="1"/>
  <c r="AH272" i="80" s="1"/>
  <c r="AE188" i="80" a="1"/>
  <c r="AE188" i="80" s="1"/>
  <c r="AE262" i="80" s="1" a="1"/>
  <c r="AE262" i="80" s="1"/>
  <c r="AE200" i="80" a="1"/>
  <c r="AE200" i="80" s="1"/>
  <c r="AE274" i="80" s="1" a="1"/>
  <c r="AE274" i="80" s="1"/>
  <c r="AE177" i="80" a="1"/>
  <c r="AE177" i="80" s="1"/>
  <c r="AE251" i="80" s="1" a="1"/>
  <c r="AE251" i="80" s="1"/>
  <c r="AE189" i="80" a="1"/>
  <c r="AE189" i="80" s="1"/>
  <c r="AE263" i="80" s="1" a="1"/>
  <c r="AE263" i="80" s="1"/>
  <c r="AA198" i="80" a="1"/>
  <c r="AA198" i="80" s="1"/>
  <c r="AA272" i="80" s="1" a="1"/>
  <c r="AA272" i="80" s="1"/>
  <c r="AA186" i="80" a="1"/>
  <c r="AA186" i="80" s="1"/>
  <c r="AA260" i="80" s="1" a="1"/>
  <c r="AA260" i="80" s="1"/>
  <c r="Y193" i="80" a="1"/>
  <c r="Y193" i="80" s="1"/>
  <c r="Y267" i="80" s="1" a="1"/>
  <c r="Y267" i="80" s="1"/>
  <c r="Y181" i="80" a="1"/>
  <c r="Y181" i="80" s="1"/>
  <c r="Y255" i="80" s="1" a="1"/>
  <c r="Y255" i="80" s="1"/>
  <c r="AD196" i="80" a="1"/>
  <c r="AD196" i="80" s="1"/>
  <c r="AD270" i="80" s="1" a="1"/>
  <c r="AD270" i="80" s="1"/>
  <c r="M177" i="80" a="1"/>
  <c r="M177" i="80" s="1"/>
  <c r="M235" i="80" s="1" a="1"/>
  <c r="M235" i="80" s="1"/>
  <c r="M181" i="80" a="1"/>
  <c r="M181" i="80" s="1"/>
  <c r="M239" i="80" s="1" a="1"/>
  <c r="M239" i="80" s="1"/>
  <c r="N179" i="80" a="1"/>
  <c r="N179" i="80" s="1"/>
  <c r="N237" i="80" s="1" a="1"/>
  <c r="N237" i="80" s="1"/>
  <c r="N183" i="80" a="1"/>
  <c r="N183" i="80" s="1"/>
  <c r="N241" i="80" s="1" a="1"/>
  <c r="N241" i="80" s="1"/>
  <c r="J221" i="109" a="1"/>
  <c r="J221" i="109" s="1"/>
  <c r="E249" i="109" s="1"/>
  <c r="K221" i="109" a="1"/>
  <c r="K221" i="109" s="1"/>
  <c r="E252" i="109" s="1"/>
  <c r="H221" i="109" a="1"/>
  <c r="H221" i="109" s="1"/>
  <c r="E251" i="109" s="1"/>
  <c r="AD197" i="80" a="1"/>
  <c r="AD197" i="80" s="1"/>
  <c r="AD271" i="80" s="1" a="1"/>
  <c r="AD271" i="80" s="1"/>
  <c r="K180" i="80" a="1"/>
  <c r="K180" i="80" s="1"/>
  <c r="K238" i="80" s="1" a="1"/>
  <c r="K238" i="80" s="1"/>
  <c r="E128" i="77"/>
  <c r="F180" i="80" a="1"/>
  <c r="F180" i="80" s="1"/>
  <c r="F238" i="80" s="1" a="1"/>
  <c r="F238" i="80" s="1"/>
  <c r="F184" i="80" a="1"/>
  <c r="F184" i="80" s="1"/>
  <c r="F242" i="80" s="1" a="1"/>
  <c r="F242" i="80" s="1"/>
  <c r="L183" i="80" a="1"/>
  <c r="L183" i="80" s="1"/>
  <c r="L241" i="80" s="1" a="1"/>
  <c r="L241" i="80" s="1"/>
  <c r="L179" i="80" a="1"/>
  <c r="L179" i="80" s="1"/>
  <c r="L237" i="80" s="1" a="1"/>
  <c r="L237" i="80" s="1"/>
  <c r="AD192" i="80" a="1"/>
  <c r="AD192" i="80" s="1"/>
  <c r="AD266" i="80" s="1" a="1"/>
  <c r="AD266" i="80" s="1"/>
  <c r="AD180" i="80" a="1"/>
  <c r="AD180" i="80" s="1"/>
  <c r="AD254" i="80" s="1" a="1"/>
  <c r="AD254" i="80" s="1"/>
  <c r="AE192" i="80" a="1"/>
  <c r="AE192" i="80" s="1"/>
  <c r="AE266" i="80" s="1" a="1"/>
  <c r="AE266" i="80" s="1"/>
  <c r="AE180" i="80" a="1"/>
  <c r="AE180" i="80" s="1"/>
  <c r="AE254" i="80" s="1" a="1"/>
  <c r="AE254" i="80" s="1"/>
  <c r="Z186" i="80" a="1"/>
  <c r="Z186" i="80" s="1"/>
  <c r="Z260" i="80" s="1" a="1"/>
  <c r="Z260" i="80" s="1"/>
  <c r="Z198" i="80" a="1"/>
  <c r="Z198" i="80" s="1"/>
  <c r="Z272" i="80" s="1" a="1"/>
  <c r="Z272" i="80" s="1"/>
  <c r="Z183" i="80" a="1"/>
  <c r="Z183" i="80" s="1"/>
  <c r="Z257" i="80" s="1" a="1"/>
  <c r="Z257" i="80" s="1"/>
  <c r="Z195" i="80" a="1"/>
  <c r="Z195" i="80" s="1"/>
  <c r="Z269" i="80" s="1" a="1"/>
  <c r="Z269" i="80" s="1"/>
  <c r="AE183" i="80" a="1"/>
  <c r="AE183" i="80" s="1"/>
  <c r="AE257" i="80" s="1" a="1"/>
  <c r="AE257" i="80" s="1"/>
  <c r="AE195" i="80" a="1"/>
  <c r="AE195" i="80" s="1"/>
  <c r="AE269" i="80" s="1" a="1"/>
  <c r="AE269" i="80" s="1"/>
  <c r="AH199" i="80" a="1"/>
  <c r="AH199" i="80" s="1"/>
  <c r="AH273" i="80" s="1" a="1"/>
  <c r="AH273" i="80" s="1"/>
  <c r="AH187" i="80" a="1"/>
  <c r="AH187" i="80" s="1"/>
  <c r="AH261" i="80" s="1" a="1"/>
  <c r="AH261" i="80" s="1"/>
  <c r="AA194" i="80" a="1"/>
  <c r="AA194" i="80" s="1"/>
  <c r="AA268" i="80" s="1" a="1"/>
  <c r="AA268" i="80" s="1"/>
  <c r="AA182" i="80" a="1"/>
  <c r="AA182" i="80" s="1"/>
  <c r="AA256" i="80" s="1" a="1"/>
  <c r="AA256" i="80" s="1"/>
  <c r="AB182" i="80" a="1"/>
  <c r="AB182" i="80" s="1"/>
  <c r="AB256" i="80" s="1" a="1"/>
  <c r="AB256" i="80" s="1"/>
  <c r="AB194" i="80" a="1"/>
  <c r="AB194" i="80" s="1"/>
  <c r="AB268" i="80" s="1" a="1"/>
  <c r="AB268" i="80" s="1"/>
  <c r="Y186" i="80" a="1"/>
  <c r="Y186" i="80" s="1"/>
  <c r="Y260" i="80" s="1" a="1"/>
  <c r="Y260" i="80" s="1"/>
  <c r="Y198" i="80" a="1"/>
  <c r="Y198" i="80" s="1"/>
  <c r="Y272" i="80" s="1" a="1"/>
  <c r="Y272" i="80" s="1"/>
  <c r="AG180" i="80" a="1"/>
  <c r="AG180" i="80" s="1"/>
  <c r="AG254" i="80" s="1" a="1"/>
  <c r="AG254" i="80" s="1"/>
  <c r="AG192" i="80" a="1"/>
  <c r="AG192" i="80" s="1"/>
  <c r="AG266" i="80" s="1" a="1"/>
  <c r="AG266" i="80" s="1"/>
  <c r="AH197" i="80" a="1"/>
  <c r="AH197" i="80" s="1"/>
  <c r="AH271" i="80" s="1" a="1"/>
  <c r="AH271" i="80" s="1"/>
  <c r="AH185" i="80" a="1"/>
  <c r="AH185" i="80" s="1"/>
  <c r="AH259" i="80" s="1" a="1"/>
  <c r="AH259" i="80" s="1"/>
  <c r="Y184" i="80" a="1"/>
  <c r="Y184" i="80" s="1"/>
  <c r="Y258" i="80" s="1" a="1"/>
  <c r="Y258" i="80" s="1"/>
  <c r="Y196" i="80" a="1"/>
  <c r="Y196" i="80" s="1"/>
  <c r="Y270" i="80" s="1" a="1"/>
  <c r="Y270" i="80" s="1"/>
  <c r="AG183" i="80" a="1"/>
  <c r="AG183" i="80" s="1"/>
  <c r="AG257" i="80" s="1" a="1"/>
  <c r="AG257" i="80" s="1"/>
  <c r="AG195" i="80" a="1"/>
  <c r="AG195" i="80" s="1"/>
  <c r="AG269" i="80" s="1" a="1"/>
  <c r="AG269" i="80" s="1"/>
  <c r="AH189" i="80" a="1"/>
  <c r="AH189" i="80" s="1"/>
  <c r="AH263" i="80" s="1" a="1"/>
  <c r="AH263" i="80" s="1"/>
  <c r="AH177" i="80" a="1"/>
  <c r="AH177" i="80" s="1"/>
  <c r="AH251" i="80" s="1" a="1"/>
  <c r="AH251" i="80" s="1"/>
  <c r="H25" i="13" a="1"/>
  <c r="H25" i="13" s="1"/>
  <c r="H24" i="13" a="1"/>
  <c r="H24" i="13" s="1"/>
  <c r="H22" i="13" a="1"/>
  <c r="H22" i="13" s="1"/>
  <c r="F21" i="13"/>
  <c r="I21" i="13" s="1" a="1"/>
  <c r="I21" i="13" s="1"/>
  <c r="F20" i="13"/>
  <c r="I20" i="13" s="1"/>
  <c r="F23" i="13"/>
  <c r="I23" i="13" s="1"/>
  <c r="H23" i="13"/>
  <c r="E244" i="80" l="1"/>
  <c r="G246" i="80" s="1"/>
  <c r="E249" i="80" s="1" a="1"/>
  <c r="E249" i="80" s="1"/>
  <c r="X276" i="80"/>
  <c r="Z278" i="80" s="1"/>
  <c r="X281" i="80" s="1" a="1"/>
  <c r="X281" i="80" s="1"/>
  <c r="F63" i="13"/>
  <c r="G63" i="13" s="1"/>
  <c r="E17" i="13" a="1"/>
  <c r="E17" i="13" s="1"/>
  <c r="F17" i="13" s="1"/>
  <c r="I17" i="13" s="1" a="1"/>
  <c r="I17" i="13" s="1"/>
  <c r="G130" i="77"/>
  <c r="E133" i="77" s="1" a="1"/>
  <c r="E133" i="77" s="1"/>
  <c r="E7" i="13" a="1"/>
  <c r="E7" i="13" s="1"/>
  <c r="H7" i="13" s="1" a="1"/>
  <c r="H7" i="13" s="1"/>
  <c r="V45" i="85" a="1"/>
  <c r="V45" i="85" s="1"/>
  <c r="G148" i="89"/>
  <c r="E151" i="89" s="1" a="1"/>
  <c r="E151" i="89" s="1"/>
  <c r="E16" i="13" a="1"/>
  <c r="E16" i="13" s="1"/>
  <c r="N88" i="85"/>
  <c r="G82" i="85"/>
  <c r="E85" i="85" s="1" a="1"/>
  <c r="E85" i="85" s="1"/>
  <c r="E12" i="13" a="1"/>
  <c r="E12" i="13" s="1"/>
  <c r="H12" i="13" s="1" a="1"/>
  <c r="H12" i="13" s="1"/>
  <c r="G62" i="13"/>
  <c r="H17" i="13" a="1"/>
  <c r="H17" i="13" s="1"/>
  <c r="P90" i="85" l="1"/>
  <c r="N93" i="85" s="1" a="1"/>
  <c r="N93" i="85" s="1"/>
  <c r="F12" i="13" a="1"/>
  <c r="F12" i="13" s="1"/>
  <c r="I12" i="13" s="1" a="1"/>
  <c r="I12" i="13" s="1"/>
  <c r="F16" i="13"/>
  <c r="I16" i="13" s="1" a="1"/>
  <c r="I16" i="13" s="1"/>
  <c r="H16" i="13" a="1"/>
  <c r="H16" i="13" s="1"/>
  <c r="Y60" i="81"/>
  <c r="V63" i="81"/>
  <c r="AC59" i="81"/>
  <c r="V57" i="81"/>
  <c r="Z63" i="81"/>
  <c r="AC64" i="81"/>
  <c r="X67" i="81"/>
  <c r="Z57" i="81"/>
  <c r="AE65" i="81"/>
  <c r="Y58" i="81"/>
  <c r="AC58" i="81"/>
  <c r="Z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N64" i="81" l="1" a="1"/>
  <c r="N64" i="81" s="1"/>
  <c r="N129" i="81" s="1" a="1"/>
  <c r="N129" i="81" s="1"/>
  <c r="N171" i="81" s="1" a="1"/>
  <c r="N171" i="81" s="1"/>
  <c r="N209" i="81" s="1" a="1"/>
  <c r="N209" i="81" s="1"/>
  <c r="W80" i="81" a="1"/>
  <c r="W80" i="81" s="1"/>
  <c r="W144" i="81" s="1" a="1"/>
  <c r="W144" i="81" s="1"/>
  <c r="W204" i="81" s="1" a="1"/>
  <c r="W204" i="81" s="1"/>
  <c r="W256" i="81" s="1" a="1"/>
  <c r="W256" i="81" s="1"/>
  <c r="AE79" i="81" a="1"/>
  <c r="AE79" i="81" s="1"/>
  <c r="AE143" i="81" s="1" a="1"/>
  <c r="AE143" i="81" s="1"/>
  <c r="AE203" i="81" s="1" a="1"/>
  <c r="AE203" i="81" s="1"/>
  <c r="AE255" i="81" s="1" a="1"/>
  <c r="AE255" i="81" s="1"/>
  <c r="J56" i="81"/>
  <c r="M62" i="81" a="1"/>
  <c r="M62" i="81" s="1"/>
  <c r="M127" i="81" s="1" a="1"/>
  <c r="M127" i="81" s="1"/>
  <c r="M169" i="81" s="1" a="1"/>
  <c r="M169" i="81" s="1"/>
  <c r="M207" i="81" s="1" a="1"/>
  <c r="M207" i="81" s="1"/>
  <c r="J65" i="81" a="1"/>
  <c r="J65" i="81" s="1"/>
  <c r="J130" i="81" s="1" a="1"/>
  <c r="J130" i="81" s="1"/>
  <c r="J172" i="81" s="1" a="1"/>
  <c r="J172" i="81" s="1"/>
  <c r="J210" i="81" s="1" a="1"/>
  <c r="J210"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X83" i="81" a="1"/>
  <c r="X83" i="81" s="1"/>
  <c r="X147" i="81" s="1" a="1"/>
  <c r="X147" i="81" s="1"/>
  <c r="X207" i="81" s="1" a="1"/>
  <c r="X207" i="81" s="1"/>
  <c r="X259" i="81" s="1" a="1"/>
  <c r="X259" i="81" s="1"/>
  <c r="W57" i="81"/>
  <c r="AA80" i="81" a="1"/>
  <c r="AA80" i="81" s="1"/>
  <c r="AA144" i="81" s="1" a="1"/>
  <c r="AA144" i="81" s="1"/>
  <c r="AA204" i="81" s="1" a="1"/>
  <c r="AA204" i="81" s="1"/>
  <c r="AA256" i="81" s="1" a="1"/>
  <c r="AA256"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AA60" i="81"/>
  <c r="AB74" i="81" a="1"/>
  <c r="AB74" i="81" s="1"/>
  <c r="AB138" i="81" s="1" a="1"/>
  <c r="AB138" i="81" s="1"/>
  <c r="AB198" i="81" s="1" a="1"/>
  <c r="AB198" i="81" s="1"/>
  <c r="AB250" i="81" s="1" a="1"/>
  <c r="AB250" i="81" s="1"/>
  <c r="W81" i="81" a="1"/>
  <c r="W81" i="81" s="1"/>
  <c r="W145" i="81" s="1" a="1"/>
  <c r="W145" i="81" s="1"/>
  <c r="W205" i="81" s="1" a="1"/>
  <c r="W205" i="81" s="1"/>
  <c r="W257" i="81" s="1" a="1"/>
  <c r="W257" i="81" s="1"/>
  <c r="AA58" i="81"/>
  <c r="AE56" i="81"/>
  <c r="X72" i="81" a="1"/>
  <c r="X72" i="81" s="1"/>
  <c r="X136" i="81" s="1" a="1"/>
  <c r="X136" i="81" s="1"/>
  <c r="X196" i="81" s="1" a="1"/>
  <c r="X196" i="81" s="1"/>
  <c r="X248" i="81" s="1" a="1"/>
  <c r="X248" i="81" s="1"/>
  <c r="K55" i="81"/>
  <c r="AC73" i="81" a="1"/>
  <c r="AC73" i="81" s="1"/>
  <c r="AC137" i="81" s="1" a="1"/>
  <c r="AC137" i="81" s="1"/>
  <c r="AC197" i="81" s="1" a="1"/>
  <c r="AC197" i="81" s="1"/>
  <c r="AC249" i="81" s="1" a="1"/>
  <c r="AC249"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AC74" i="81" a="1"/>
  <c r="AC74" i="81" s="1"/>
  <c r="AC138" i="81" s="1" a="1"/>
  <c r="AC138" i="81" s="1"/>
  <c r="AC198" i="81" s="1" a="1"/>
  <c r="AC198" i="81" s="1"/>
  <c r="AC250" i="81" s="1" a="1"/>
  <c r="AC250" i="81" s="1"/>
  <c r="V73" i="81" a="1"/>
  <c r="V73" i="81" s="1"/>
  <c r="V137" i="81" s="1" a="1"/>
  <c r="V137" i="81" s="1"/>
  <c r="V197" i="81" s="1" a="1"/>
  <c r="V197" i="81" s="1"/>
  <c r="V249" i="81" s="1" a="1"/>
  <c r="V249" i="81" s="1"/>
  <c r="Y77" i="81" a="1"/>
  <c r="Y77" i="81" s="1"/>
  <c r="Y141" i="81" s="1" a="1"/>
  <c r="Y141" i="81" s="1"/>
  <c r="Y201" i="81" s="1" a="1"/>
  <c r="Y201" i="81" s="1"/>
  <c r="Y253" i="81" s="1" a="1"/>
  <c r="Y253" i="81" s="1"/>
  <c r="Y81" i="81" a="1"/>
  <c r="Y81" i="81" s="1"/>
  <c r="Y145" i="81" s="1" a="1"/>
  <c r="Y145" i="81" s="1"/>
  <c r="Y205" i="81" s="1" a="1"/>
  <c r="Y205" i="81" s="1"/>
  <c r="Y257" i="81" s="1" a="1"/>
  <c r="Y257" i="81" s="1"/>
  <c r="V64" i="81"/>
  <c r="X82" i="81" a="1"/>
  <c r="X82" i="81" s="1"/>
  <c r="X146" i="81" s="1" a="1"/>
  <c r="X146" i="81" s="1"/>
  <c r="X206" i="81" s="1" a="1"/>
  <c r="X206" i="81" s="1"/>
  <c r="X258" i="81" s="1" a="1"/>
  <c r="X258" i="81" s="1"/>
  <c r="Z74" i="81" a="1"/>
  <c r="Z74" i="81" s="1"/>
  <c r="Z138" i="81" s="1" a="1"/>
  <c r="Z138" i="81" s="1"/>
  <c r="Z198" i="81" s="1" a="1"/>
  <c r="Z198" i="81" s="1"/>
  <c r="Z250" i="81" s="1" a="1"/>
  <c r="Z250" i="81" s="1"/>
  <c r="F63" i="81" a="1"/>
  <c r="F63" i="81" s="1"/>
  <c r="F128" i="81" s="1" a="1"/>
  <c r="F128" i="81" s="1"/>
  <c r="F170" i="81" s="1" a="1"/>
  <c r="F170" i="81" s="1"/>
  <c r="F208" i="81" s="1" a="1"/>
  <c r="F208" i="81" s="1"/>
  <c r="AB60" i="81"/>
  <c r="AE83" i="81" a="1"/>
  <c r="AE83" i="81" s="1"/>
  <c r="AE147" i="81" s="1" a="1"/>
  <c r="AE147" i="81" s="1"/>
  <c r="AE207" i="81" s="1" a="1"/>
  <c r="AE207" i="81" s="1"/>
  <c r="AE259" i="81" s="1" a="1"/>
  <c r="AE259" i="81" s="1"/>
  <c r="Z77" i="81" a="1"/>
  <c r="Z77" i="81" s="1"/>
  <c r="Z141" i="81" s="1" a="1"/>
  <c r="Z141" i="81" s="1"/>
  <c r="Z201" i="81" s="1" a="1"/>
  <c r="Z201" i="81" s="1"/>
  <c r="Z253" i="81" s="1" a="1"/>
  <c r="Z253" i="81" s="1"/>
  <c r="AC63"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Y74" i="81" a="1"/>
  <c r="Y74" i="81" s="1"/>
  <c r="Y138" i="81" s="1" a="1"/>
  <c r="Y138" i="81" s="1"/>
  <c r="Y198" i="81" s="1" a="1"/>
  <c r="Y198" i="81" s="1"/>
  <c r="Y250" i="81" s="1" a="1"/>
  <c r="Y250" i="81" s="1"/>
  <c r="AC75" i="81" a="1"/>
  <c r="AC75" i="81" s="1"/>
  <c r="AC139" i="81" s="1" a="1"/>
  <c r="AC139" i="81" s="1"/>
  <c r="AC199" i="81" s="1" a="1"/>
  <c r="AC199" i="81" s="1"/>
  <c r="AC251" i="81" s="1" a="1"/>
  <c r="AC251" i="81" s="1"/>
  <c r="AC61" i="81"/>
  <c r="AA77" i="81" a="1"/>
  <c r="AA77" i="81" s="1"/>
  <c r="AA141" i="81" s="1" a="1"/>
  <c r="AA141" i="81" s="1"/>
  <c r="AA201" i="81" s="1" a="1"/>
  <c r="AA201" i="81" s="1"/>
  <c r="AA253" i="81" s="1" a="1"/>
  <c r="AA253" i="81" s="1"/>
  <c r="H64" i="81" a="1"/>
  <c r="H64" i="81" s="1"/>
  <c r="H129" i="81" s="1" a="1"/>
  <c r="H129" i="81" s="1"/>
  <c r="H171" i="81" s="1" a="1"/>
  <c r="H171" i="81" s="1"/>
  <c r="H209" i="81" s="1" a="1"/>
  <c r="H209" i="81" s="1"/>
  <c r="V74" i="81" a="1"/>
  <c r="V74" i="81" s="1"/>
  <c r="V138" i="81" s="1" a="1"/>
  <c r="V138" i="81" s="1"/>
  <c r="V198" i="81" s="1" a="1"/>
  <c r="V198" i="81" s="1"/>
  <c r="V250" i="81" s="1" a="1"/>
  <c r="V250" i="81" s="1"/>
  <c r="Z79" i="81" a="1"/>
  <c r="Z79" i="81" s="1"/>
  <c r="Z143" i="81" s="1" a="1"/>
  <c r="Z143" i="81" s="1"/>
  <c r="Z203" i="81" s="1" a="1"/>
  <c r="Z203" i="81" s="1"/>
  <c r="Z255" i="81" s="1" a="1"/>
  <c r="Z255" i="81" s="1"/>
  <c r="AE57" i="81"/>
  <c r="AA79" i="81" a="1"/>
  <c r="AA79" i="81" s="1"/>
  <c r="AA143" i="81" s="1" a="1"/>
  <c r="AA143" i="81" s="1"/>
  <c r="AA203" i="81" s="1" a="1"/>
  <c r="AA203" i="81" s="1"/>
  <c r="AA255" i="81" s="1" a="1"/>
  <c r="AA255" i="81" s="1"/>
  <c r="J62" i="81" a="1"/>
  <c r="J62" i="81" s="1"/>
  <c r="J127" i="81" s="1" a="1"/>
  <c r="J127" i="81" s="1"/>
  <c r="J169" i="81" s="1" a="1"/>
  <c r="J169" i="81" s="1"/>
  <c r="J207" i="81" s="1" a="1"/>
  <c r="J207" i="81" s="1"/>
  <c r="G62" i="81" a="1"/>
  <c r="G62" i="81" s="1"/>
  <c r="G127" i="81" s="1" a="1"/>
  <c r="G127" i="81" s="1"/>
  <c r="G169" i="81" s="1" a="1"/>
  <c r="G169" i="81" s="1"/>
  <c r="G207" i="81" s="1" a="1"/>
  <c r="G207" i="81" s="1"/>
  <c r="G56" i="81"/>
  <c r="H62" i="81" a="1"/>
  <c r="H62" i="81" s="1"/>
  <c r="H127" i="81" s="1" a="1"/>
  <c r="H127" i="81" s="1"/>
  <c r="H169" i="81" s="1" a="1"/>
  <c r="H169" i="81" s="1"/>
  <c r="H207" i="81" s="1" a="1"/>
  <c r="H207" i="81" s="1"/>
  <c r="V83" i="81" a="1"/>
  <c r="V83" i="81" s="1"/>
  <c r="V147" i="81" s="1" a="1"/>
  <c r="V147" i="81" s="1"/>
  <c r="V207" i="81" s="1" a="1"/>
  <c r="V207" i="81" s="1"/>
  <c r="V259" i="81" s="1" a="1"/>
  <c r="V259" i="81" s="1"/>
  <c r="Y82" i="81" a="1"/>
  <c r="Y82" i="81" s="1"/>
  <c r="Y146" i="81" s="1" a="1"/>
  <c r="Y146" i="81" s="1"/>
  <c r="Y206" i="81" s="1" a="1"/>
  <c r="Y206" i="81" s="1"/>
  <c r="Y258" i="81" s="1" a="1"/>
  <c r="Y258" i="81" s="1"/>
  <c r="AB83" i="81" a="1"/>
  <c r="AB83" i="81" s="1"/>
  <c r="AB147" i="81" s="1" a="1"/>
  <c r="AB147" i="81" s="1"/>
  <c r="AB207" i="81" s="1" a="1"/>
  <c r="AB207" i="81" s="1"/>
  <c r="AB259" i="81" s="1" a="1"/>
  <c r="AB259" i="81" s="1"/>
  <c r="F64" i="81" a="1"/>
  <c r="F64" i="81" s="1"/>
  <c r="F129" i="81" s="1" a="1"/>
  <c r="F129" i="81" s="1"/>
  <c r="F171" i="81" s="1" a="1"/>
  <c r="F171" i="81" s="1"/>
  <c r="F209" i="81" s="1" a="1"/>
  <c r="F209" i="81" s="1"/>
  <c r="E65" i="81" a="1"/>
  <c r="E65" i="81" s="1"/>
  <c r="E130" i="81" s="1" a="1"/>
  <c r="E130" i="81" s="1"/>
  <c r="E172" i="81" s="1" a="1"/>
  <c r="E172" i="81" s="1"/>
  <c r="E210" i="81" s="1" a="1"/>
  <c r="E210" i="81" s="1"/>
  <c r="AD59" i="8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N63" i="81" a="1"/>
  <c r="N63" i="81" s="1"/>
  <c r="N128" i="81" s="1" a="1"/>
  <c r="N128" i="81" s="1"/>
  <c r="N170" i="81" s="1" a="1"/>
  <c r="N170" i="81" s="1"/>
  <c r="N208" i="81" s="1" a="1"/>
  <c r="N208" i="81" s="1"/>
  <c r="N62" i="81" a="1"/>
  <c r="N62" i="81" s="1"/>
  <c r="N127" i="81" s="1" a="1"/>
  <c r="N127" i="81" s="1"/>
  <c r="N169" i="81" s="1" a="1"/>
  <c r="N169" i="81" s="1"/>
  <c r="N207" i="81" s="1" a="1"/>
  <c r="N207" i="81" s="1"/>
  <c r="W66" i="81"/>
  <c r="AE80" i="81" a="1"/>
  <c r="AE80" i="81" s="1"/>
  <c r="AE144" i="81" s="1" a="1"/>
  <c r="AE144" i="81" s="1"/>
  <c r="AE204" i="81" s="1" a="1"/>
  <c r="AE204" i="81" s="1"/>
  <c r="AE256" i="81" s="1" a="1"/>
  <c r="AE256" i="81" s="1"/>
  <c r="G63" i="81" a="1"/>
  <c r="G63" i="81" s="1"/>
  <c r="G128" i="81" s="1" a="1"/>
  <c r="G128" i="81" s="1"/>
  <c r="G170" i="81" s="1" a="1"/>
  <c r="G170" i="81" s="1"/>
  <c r="G208" i="81" s="1" a="1"/>
  <c r="G208" i="81" s="1"/>
  <c r="V76" i="81" a="1"/>
  <c r="V76" i="81" s="1"/>
  <c r="V140" i="81" s="1" a="1"/>
  <c r="V140" i="81" s="1"/>
  <c r="V200" i="81" s="1" a="1"/>
  <c r="V200" i="81" s="1"/>
  <c r="V252" i="81" s="1" a="1"/>
  <c r="V252" i="81" s="1"/>
  <c r="AE77" i="81" a="1"/>
  <c r="AE77" i="81" s="1"/>
  <c r="AE141" i="81" s="1" a="1"/>
  <c r="AE141" i="81" s="1"/>
  <c r="AE201" i="81" s="1" a="1"/>
  <c r="AE201" i="81" s="1"/>
  <c r="AE253" i="81" s="1" a="1"/>
  <c r="AE253" i="81" s="1"/>
  <c r="K57" i="81"/>
  <c r="AB56" i="81"/>
  <c r="AE74" i="81" a="1"/>
  <c r="AE74" i="81" s="1"/>
  <c r="AE138" i="81" s="1" a="1"/>
  <c r="AE138" i="81" s="1"/>
  <c r="AE198" i="81" s="1" a="1"/>
  <c r="AE198" i="81" s="1"/>
  <c r="AE250" i="81" s="1" a="1"/>
  <c r="AE250" i="81" s="1"/>
  <c r="AB82" i="81" a="1"/>
  <c r="AB82" i="81" s="1"/>
  <c r="AB146" i="81" s="1" a="1"/>
  <c r="AB146" i="81" s="1"/>
  <c r="AB206" i="81" s="1" a="1"/>
  <c r="AB206" i="81" s="1"/>
  <c r="AB258" i="81" s="1" a="1"/>
  <c r="AB258" i="81" s="1"/>
  <c r="F62" i="81" a="1"/>
  <c r="F62" i="81" s="1"/>
  <c r="F127" i="81" s="1" a="1"/>
  <c r="F127" i="81" s="1"/>
  <c r="F169" i="81" s="1" a="1"/>
  <c r="F169" i="81" s="1"/>
  <c r="F207" i="81" s="1" a="1"/>
  <c r="F207" i="81" s="1"/>
  <c r="AC65" i="8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AE81" i="81" a="1"/>
  <c r="AE81" i="81" s="1"/>
  <c r="AE145" i="81" s="1" a="1"/>
  <c r="AE145" i="81" s="1"/>
  <c r="AE205" i="81" s="1" a="1"/>
  <c r="AE205" i="81" s="1"/>
  <c r="AE257" i="81" s="1" a="1"/>
  <c r="AE257" i="81" s="1"/>
  <c r="V79" i="81" a="1"/>
  <c r="V79" i="81" s="1"/>
  <c r="V143" i="81" s="1" a="1"/>
  <c r="V143" i="81" s="1"/>
  <c r="V203" i="81" s="1" a="1"/>
  <c r="V203" i="81" s="1"/>
  <c r="V255" i="81" s="1" a="1"/>
  <c r="V255"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N65" i="81" a="1"/>
  <c r="N65" i="81" s="1"/>
  <c r="N130" i="81" s="1" a="1"/>
  <c r="N130" i="81" s="1"/>
  <c r="N172" i="81" s="1" a="1"/>
  <c r="N172" i="81" s="1"/>
  <c r="N210" i="81" s="1" a="1"/>
  <c r="N210" i="81" s="1"/>
  <c r="AB61" i="81"/>
  <c r="AC80" i="81" a="1"/>
  <c r="AC80" i="81" s="1"/>
  <c r="AC144" i="81" s="1" a="1"/>
  <c r="AC144" i="81" s="1"/>
  <c r="AC204" i="81" s="1" a="1"/>
  <c r="AC204" i="81" s="1"/>
  <c r="AC256" i="81" s="1" a="1"/>
  <c r="AC256" i="81" s="1"/>
  <c r="AB62" i="81"/>
  <c r="AD76" i="81" a="1"/>
  <c r="AD76" i="81" s="1"/>
  <c r="AD140" i="81" s="1" a="1"/>
  <c r="AD140" i="81" s="1"/>
  <c r="AD200" i="81" s="1" a="1"/>
  <c r="AD200" i="81" s="1"/>
  <c r="AD252" i="81" s="1" a="1"/>
  <c r="AD252" i="81" s="1"/>
  <c r="AA78" i="81" a="1"/>
  <c r="AA78" i="81" s="1"/>
  <c r="AA142" i="81" s="1" a="1"/>
  <c r="AA142" i="81" s="1"/>
  <c r="AA202" i="81" s="1" a="1"/>
  <c r="AA202" i="81" s="1"/>
  <c r="AA254" i="81" s="1" a="1"/>
  <c r="AA254" i="81" s="1"/>
  <c r="L63" i="81" a="1"/>
  <c r="L63" i="81" s="1"/>
  <c r="L128" i="81" s="1" a="1"/>
  <c r="L128" i="81" s="1"/>
  <c r="L170" i="81" s="1" a="1"/>
  <c r="L170" i="81" s="1"/>
  <c r="L208" i="81" s="1" a="1"/>
  <c r="L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Z73" i="81" a="1"/>
  <c r="Z73" i="81" s="1"/>
  <c r="Z137" i="81" s="1" a="1"/>
  <c r="Z137" i="81" s="1"/>
  <c r="Z197" i="81" s="1" a="1"/>
  <c r="Z197" i="81" s="1"/>
  <c r="Z249" i="81" s="1" a="1"/>
  <c r="Z249" i="81" s="1"/>
  <c r="Y76" i="81" a="1"/>
  <c r="Y76" i="81" s="1"/>
  <c r="Y140" i="81" s="1" a="1"/>
  <c r="Y140" i="81" s="1"/>
  <c r="Y200" i="81" s="1" a="1"/>
  <c r="Y200" i="81" s="1"/>
  <c r="Y252" i="81" s="1" a="1"/>
  <c r="Y252" i="81" s="1"/>
  <c r="L64" i="81" a="1"/>
  <c r="L64" i="81" s="1"/>
  <c r="L129" i="81" s="1" a="1"/>
  <c r="L129" i="81" s="1"/>
  <c r="L171" i="81" s="1" a="1"/>
  <c r="L171" i="81" s="1"/>
  <c r="L209" i="81" s="1" a="1"/>
  <c r="L209" i="81" s="1"/>
  <c r="AD57" i="81"/>
  <c r="W76" i="81" a="1"/>
  <c r="W76" i="81" s="1"/>
  <c r="W140" i="81" s="1" a="1"/>
  <c r="W140" i="81" s="1"/>
  <c r="W200" i="81" s="1" a="1"/>
  <c r="W200" i="81" s="1"/>
  <c r="W252" i="81" s="1" a="1"/>
  <c r="W252" i="81" s="1"/>
  <c r="J63" i="81" a="1"/>
  <c r="J63" i="81" s="1"/>
  <c r="J128" i="81" s="1" a="1"/>
  <c r="J128" i="81" s="1"/>
  <c r="J170" i="81" s="1" a="1"/>
  <c r="J170" i="81" s="1"/>
  <c r="J208" i="81" s="1" a="1"/>
  <c r="J208" i="81" s="1"/>
  <c r="W78" i="81" a="1"/>
  <c r="W78" i="81" s="1"/>
  <c r="W142" i="81" s="1" a="1"/>
  <c r="W142" i="81" s="1"/>
  <c r="W202" i="81" s="1" a="1"/>
  <c r="W202" i="81" s="1"/>
  <c r="W254" i="81" s="1" a="1"/>
  <c r="W254" i="81" s="1"/>
  <c r="E54" i="81"/>
  <c r="AB79" i="81" a="1"/>
  <c r="AB79" i="81" s="1"/>
  <c r="AB143" i="81" s="1" a="1"/>
  <c r="AB143" i="81" s="1"/>
  <c r="AB203" i="81" s="1" a="1"/>
  <c r="AB203" i="81" s="1"/>
  <c r="AB255" i="81" s="1" a="1"/>
  <c r="AB255" i="81" s="1"/>
  <c r="M63" i="81" a="1"/>
  <c r="M63" i="81" s="1"/>
  <c r="M128" i="81" s="1" a="1"/>
  <c r="M128" i="81" s="1"/>
  <c r="M170" i="81" s="1" a="1"/>
  <c r="M170" i="81" s="1"/>
  <c r="M208" i="81" s="1" a="1"/>
  <c r="M208" i="81" s="1"/>
  <c r="X80" i="81" a="1"/>
  <c r="X80" i="81" s="1"/>
  <c r="X144" i="81" s="1" a="1"/>
  <c r="X144" i="81" s="1"/>
  <c r="X204" i="81" s="1" a="1"/>
  <c r="X204" i="81" s="1"/>
  <c r="X256" i="81" s="1" a="1"/>
  <c r="X256" i="81" s="1"/>
  <c r="M65" i="81" a="1"/>
  <c r="M65" i="81" s="1"/>
  <c r="M130" i="81" s="1" a="1"/>
  <c r="M130" i="81" s="1"/>
  <c r="M172" i="81" s="1" a="1"/>
  <c r="M172" i="81" s="1"/>
  <c r="M210" i="81" s="1" a="1"/>
  <c r="M210" i="81" s="1"/>
  <c r="H63" i="81" a="1"/>
  <c r="H63" i="81" s="1"/>
  <c r="H128" i="81" s="1" a="1"/>
  <c r="H128" i="81" s="1"/>
  <c r="H170" i="81" s="1" a="1"/>
  <c r="H170" i="81" s="1"/>
  <c r="H208" i="81" s="1" a="1"/>
  <c r="H20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D73" i="81" l="1" a="1"/>
  <c r="AD73" i="81" s="1"/>
  <c r="AD137" i="81" s="1" a="1"/>
  <c r="AD137" i="81" s="1"/>
  <c r="AD197" i="81" s="1" a="1"/>
  <c r="AD197" i="81" s="1"/>
  <c r="AD249" i="81" s="1" a="1"/>
  <c r="AD249" i="81" s="1"/>
  <c r="Y79" i="81" a="1"/>
  <c r="Y79" i="81" s="1"/>
  <c r="Y143" i="81" s="1" a="1"/>
  <c r="Y143" i="81" s="1"/>
  <c r="Y203" i="81" s="1" a="1"/>
  <c r="Y203" i="81" s="1"/>
  <c r="Y255" i="81" s="1" a="1"/>
  <c r="Y255" i="81" s="1"/>
  <c r="AC81" i="81" a="1"/>
  <c r="AC81" i="81" s="1"/>
  <c r="AC145" i="81" s="1" a="1"/>
  <c r="AC145" i="81" s="1"/>
  <c r="AC205" i="81" s="1" a="1"/>
  <c r="AC205" i="81" s="1"/>
  <c r="AC257" i="81" s="1" a="1"/>
  <c r="AC257" i="81" s="1"/>
  <c r="AE73" i="81" a="1"/>
  <c r="AE73" i="81" s="1"/>
  <c r="AE137" i="81" s="1" a="1"/>
  <c r="AE137" i="81" s="1"/>
  <c r="AE197" i="81" s="1" a="1"/>
  <c r="AE197" i="81" s="1"/>
  <c r="AE249" i="81" s="1" a="1"/>
  <c r="AE249" i="81" s="1"/>
  <c r="V77" i="81" a="1"/>
  <c r="V77" i="81" s="1"/>
  <c r="V141" i="81" s="1" a="1"/>
  <c r="V141" i="81" s="1"/>
  <c r="V201" i="81" s="1" a="1"/>
  <c r="V201" i="81" s="1"/>
  <c r="V253" i="81" s="1" a="1"/>
  <c r="V253" i="81" s="1"/>
  <c r="AD81" i="81" a="1"/>
  <c r="AD81" i="81" s="1"/>
  <c r="AD145" i="81" s="1" a="1"/>
  <c r="AD145" i="81" s="1"/>
  <c r="AD205" i="81" s="1" a="1"/>
  <c r="AD205" i="81" s="1"/>
  <c r="AD257" i="81" s="1" a="1"/>
  <c r="AD257" i="81" s="1"/>
  <c r="AA76" i="81" a="1"/>
  <c r="AA76" i="81" s="1"/>
  <c r="AA140" i="81" s="1" a="1"/>
  <c r="AA140" i="81" s="1"/>
  <c r="AA200" i="81" s="1" a="1"/>
  <c r="AA200" i="81" s="1"/>
  <c r="AA252" i="81" s="1" a="1"/>
  <c r="AA252" i="81" s="1"/>
  <c r="Z83" i="81" a="1"/>
  <c r="Z83" i="81" s="1"/>
  <c r="Z147" i="81" s="1" a="1"/>
  <c r="Z147" i="81" s="1"/>
  <c r="Z207" i="81" s="1" a="1"/>
  <c r="Z207" i="81" s="1"/>
  <c r="Z259" i="81" s="1" a="1"/>
  <c r="Z259" i="81" s="1"/>
  <c r="W83" i="81" a="1"/>
  <c r="W83" i="81" s="1"/>
  <c r="W147" i="81" s="1" a="1"/>
  <c r="W147" i="81" s="1"/>
  <c r="W207" i="81" s="1" a="1"/>
  <c r="W207" i="81" s="1"/>
  <c r="W259" i="81" s="1" a="1"/>
  <c r="W259" i="81" s="1"/>
  <c r="V72" i="81" a="1"/>
  <c r="V72" i="81" s="1"/>
  <c r="V136" i="81" s="1" a="1"/>
  <c r="V136" i="81" s="1"/>
  <c r="V196" i="81" s="1" a="1"/>
  <c r="V196" i="81" s="1"/>
  <c r="V248" i="81" s="1" a="1"/>
  <c r="V248" i="81" s="1"/>
  <c r="AB78" i="81" a="1"/>
  <c r="AB78" i="81" s="1"/>
  <c r="AB142" i="81" s="1" a="1"/>
  <c r="AB142" i="81" s="1"/>
  <c r="AB202" i="81" s="1" a="1"/>
  <c r="AB202" i="81" s="1"/>
  <c r="AB254" i="81" s="1" a="1"/>
  <c r="AB254" i="81" s="1"/>
  <c r="AA75" i="81" a="1"/>
  <c r="AA75" i="81" s="1"/>
  <c r="AA139" i="81" s="1" a="1"/>
  <c r="AA139" i="81" s="1"/>
  <c r="AA199" i="81" s="1" a="1"/>
  <c r="AA199" i="81" s="1"/>
  <c r="AA251" i="81" s="1" a="1"/>
  <c r="AA251" i="81" s="1"/>
  <c r="AA83" i="81" a="1"/>
  <c r="AA83" i="81" s="1"/>
  <c r="AA147" i="81" s="1" a="1"/>
  <c r="AA147" i="81" s="1"/>
  <c r="AA207" i="81" s="1" a="1"/>
  <c r="AA207" i="81" s="1"/>
  <c r="AA259" i="81" s="1" a="1"/>
  <c r="AA259" i="81" s="1"/>
  <c r="Y75" i="81" a="1"/>
  <c r="Y75" i="81" s="1"/>
  <c r="Y139" i="81" s="1" a="1"/>
  <c r="Y139" i="81" s="1"/>
  <c r="Y199" i="81" s="1" a="1"/>
  <c r="Y199" i="81" s="1"/>
  <c r="Y251" i="81" s="1" a="1"/>
  <c r="Y251" i="81" s="1"/>
  <c r="AB76" i="81" a="1"/>
  <c r="AB76" i="81" s="1"/>
  <c r="AB140" i="81" s="1" a="1"/>
  <c r="AB140" i="81" s="1"/>
  <c r="AB200" i="81" s="1" a="1"/>
  <c r="AB200" i="81" s="1"/>
  <c r="AB252" i="81" s="1" a="1"/>
  <c r="AB252" i="81" s="1"/>
  <c r="K63" i="81" a="1"/>
  <c r="K63" i="81" s="1"/>
  <c r="K128" i="81" s="1" a="1"/>
  <c r="K128" i="81" s="1"/>
  <c r="K170" i="81" s="1" a="1"/>
  <c r="K170" i="81" s="1"/>
  <c r="K208" i="81" s="1" a="1"/>
  <c r="K208" i="81" s="1"/>
  <c r="W73" i="81" a="1"/>
  <c r="W73" i="81" s="1"/>
  <c r="W137" i="81" s="1" a="1"/>
  <c r="W137" i="81" s="1"/>
  <c r="W197" i="81" s="1" a="1"/>
  <c r="W197" i="81" s="1"/>
  <c r="W249" i="81" s="1" a="1"/>
  <c r="W249" i="81" s="1"/>
  <c r="X76" i="81" a="1"/>
  <c r="X76" i="81" s="1"/>
  <c r="X140" i="81" s="1" a="1"/>
  <c r="X140" i="81" s="1"/>
  <c r="X200" i="81" s="1" a="1"/>
  <c r="X200" i="81" s="1"/>
  <c r="X252" i="81" s="1" a="1"/>
  <c r="X252" i="81" s="1"/>
  <c r="AD83" i="81" a="1"/>
  <c r="AD83" i="81" s="1"/>
  <c r="AD147" i="81" s="1" a="1"/>
  <c r="AD147" i="81" s="1"/>
  <c r="AD207" i="81" s="1" a="1"/>
  <c r="AD207" i="81" s="1"/>
  <c r="AD259" i="81" s="1" a="1"/>
  <c r="AD259" i="81" s="1"/>
  <c r="AD78" i="81" a="1"/>
  <c r="AD78" i="81" s="1"/>
  <c r="AD142" i="81" s="1" a="1"/>
  <c r="AD142" i="81" s="1"/>
  <c r="AD202" i="81" s="1" a="1"/>
  <c r="AD202" i="81" s="1"/>
  <c r="AD254" i="81" s="1" a="1"/>
  <c r="AD254" i="81" s="1"/>
  <c r="W82" i="81" a="1"/>
  <c r="W82" i="81" s="1"/>
  <c r="W146" i="81" s="1" a="1"/>
  <c r="W146" i="81" s="1"/>
  <c r="W206" i="81" s="1" a="1"/>
  <c r="W206" i="81" s="1"/>
  <c r="W258" i="81" s="1" a="1"/>
  <c r="W258" i="81" s="1"/>
  <c r="AD75" i="81" a="1"/>
  <c r="AD75" i="81" s="1"/>
  <c r="AD139" i="81" s="1" a="1"/>
  <c r="AD139" i="81" s="1"/>
  <c r="AD199" i="81" s="1" a="1"/>
  <c r="AD199" i="81" s="1"/>
  <c r="AD251" i="81" s="1" a="1"/>
  <c r="AD251" i="81" s="1"/>
  <c r="G64" i="81" a="1"/>
  <c r="G64" i="81" s="1"/>
  <c r="G129" i="81" s="1" a="1"/>
  <c r="G129" i="81" s="1"/>
  <c r="G171" i="81" s="1" a="1"/>
  <c r="G171" i="81" s="1"/>
  <c r="G209" i="81" s="1" a="1"/>
  <c r="G209" i="81" s="1"/>
  <c r="Y80" i="81" a="1"/>
  <c r="Y80" i="81" s="1"/>
  <c r="Y144" i="81" s="1" a="1"/>
  <c r="Y144" i="81" s="1"/>
  <c r="Y204" i="81" s="1" a="1"/>
  <c r="Y204" i="81" s="1"/>
  <c r="Y256" i="81" s="1" a="1"/>
  <c r="Y256" i="81" s="1"/>
  <c r="Y78" i="81" a="1"/>
  <c r="Y78" i="81" s="1"/>
  <c r="Y142" i="81" s="1" a="1"/>
  <c r="Y142" i="81" s="1"/>
  <c r="Y202" i="81" s="1" a="1"/>
  <c r="Y202" i="81" s="1"/>
  <c r="Y254" i="81" s="1" a="1"/>
  <c r="Y254" i="81" s="1"/>
  <c r="J64" i="81" a="1"/>
  <c r="J64" i="81" s="1"/>
  <c r="J129" i="81" s="1" a="1"/>
  <c r="J129" i="81" s="1"/>
  <c r="J171" i="81" s="1" a="1"/>
  <c r="J171" i="81" s="1"/>
  <c r="J209" i="81" s="1" a="1"/>
  <c r="J209" i="81" s="1"/>
  <c r="Z78" i="81" a="1"/>
  <c r="Z78" i="81" s="1"/>
  <c r="Z142" i="81" s="1" a="1"/>
  <c r="Z142" i="81" s="1"/>
  <c r="Z202" i="81" s="1" a="1"/>
  <c r="Z202" i="81" s="1"/>
  <c r="Z254" i="81" s="1" a="1"/>
  <c r="Z254" i="81" s="1"/>
  <c r="AA81" i="81" a="1"/>
  <c r="AA81" i="81" s="1"/>
  <c r="AA145" i="81" s="1" a="1"/>
  <c r="AA145" i="81" s="1"/>
  <c r="AA205" i="81" s="1" a="1"/>
  <c r="AA205" i="81" s="1"/>
  <c r="AA257" i="81" s="1" a="1"/>
  <c r="AA257" i="81" s="1"/>
  <c r="AB77" i="81" a="1"/>
  <c r="AB77" i="81" s="1"/>
  <c r="AB141" i="81" s="1" a="1"/>
  <c r="AB141" i="81" s="1"/>
  <c r="AB201" i="81" s="1" a="1"/>
  <c r="AB201" i="81" s="1"/>
  <c r="AB253" i="81" s="1" a="1"/>
  <c r="AB253" i="81" s="1"/>
  <c r="G65" i="81" a="1"/>
  <c r="G65" i="81" s="1"/>
  <c r="G130" i="81" s="1" a="1"/>
  <c r="G130" i="81" s="1"/>
  <c r="G172" i="81" s="1" a="1"/>
  <c r="G172" i="81" s="1"/>
  <c r="G210" i="81" s="1" a="1"/>
  <c r="G210" i="81" s="1"/>
  <c r="AB72" i="81" a="1"/>
  <c r="AB72" i="81" s="1"/>
  <c r="AB136" i="81" s="1" a="1"/>
  <c r="AB136" i="81" s="1"/>
  <c r="AB196" i="81" s="1" a="1"/>
  <c r="AB196" i="81" s="1"/>
  <c r="AB248" i="81" s="1" a="1"/>
  <c r="AB248" i="81" s="1"/>
  <c r="Y73" i="81" a="1"/>
  <c r="Y73" i="81" s="1"/>
  <c r="Y137" i="81" s="1" a="1"/>
  <c r="Y137" i="81" s="1"/>
  <c r="Y197" i="81" s="1" a="1"/>
  <c r="Y197" i="81" s="1"/>
  <c r="Y249" i="81" s="1" a="1"/>
  <c r="Y249" i="81" s="1"/>
  <c r="AE72" i="81" a="1"/>
  <c r="AE72" i="81" s="1"/>
  <c r="AE136" i="81" s="1" a="1"/>
  <c r="AE136" i="81" s="1"/>
  <c r="AE196" i="81" s="1" a="1"/>
  <c r="AE196" i="81" s="1"/>
  <c r="AE248" i="81" s="1" a="1"/>
  <c r="AE248" i="81" s="1"/>
  <c r="AB75" i="81" a="1"/>
  <c r="AB75" i="81" s="1"/>
  <c r="AB139" i="81" s="1" a="1"/>
  <c r="AB139" i="81" s="1"/>
  <c r="AB199" i="81" s="1" a="1"/>
  <c r="AB199" i="81" s="1"/>
  <c r="AB251" i="81" s="1" a="1"/>
  <c r="AB251" i="81" s="1"/>
  <c r="E62" i="81" a="1"/>
  <c r="E62" i="81" s="1"/>
  <c r="E127" i="81" s="1" a="1"/>
  <c r="E127" i="81" s="1"/>
  <c r="E169" i="81" s="1" a="1"/>
  <c r="E169" i="81" s="1"/>
  <c r="E207" i="81" s="1" a="1"/>
  <c r="E207" i="81" s="1"/>
  <c r="Z76" i="81" a="1"/>
  <c r="Z76" i="81" s="1"/>
  <c r="Z140" i="81" s="1" a="1"/>
  <c r="Z140" i="81" s="1"/>
  <c r="Z200" i="81" s="1" a="1"/>
  <c r="Z200" i="81" s="1"/>
  <c r="Z252" i="81" s="1" a="1"/>
  <c r="Z252" i="81" s="1"/>
  <c r="K65" i="81" a="1"/>
  <c r="K65" i="81" s="1"/>
  <c r="K130" i="81" s="1" a="1"/>
  <c r="K130" i="81" s="1"/>
  <c r="K172" i="81" s="1" a="1"/>
  <c r="K172" i="81" s="1"/>
  <c r="K210" i="81" s="1" a="1"/>
  <c r="K210" i="81" s="1"/>
  <c r="AC77" i="81" a="1"/>
  <c r="AC77" i="81" s="1"/>
  <c r="AC141" i="81" s="1" a="1"/>
  <c r="AC141" i="81" s="1"/>
  <c r="AC201" i="81" s="1" a="1"/>
  <c r="AC201" i="81" s="1"/>
  <c r="AC253" i="81" s="1" a="1"/>
  <c r="AC253" i="81" s="1"/>
  <c r="AD74" i="81" a="1"/>
  <c r="AD74" i="81" s="1"/>
  <c r="AD138" i="81" s="1" a="1"/>
  <c r="AD138" i="81" s="1"/>
  <c r="AD198" i="81" s="1" a="1"/>
  <c r="AD198" i="81" s="1"/>
  <c r="AD250" i="81" s="1" a="1"/>
  <c r="AD250" i="81" s="1"/>
  <c r="AA74" i="81" a="1"/>
  <c r="AA74" i="81" s="1"/>
  <c r="AA138" i="81" s="1" a="1"/>
  <c r="AA138" i="81" s="1"/>
  <c r="AA198" i="81" s="1" a="1"/>
  <c r="AA198" i="81" s="1"/>
  <c r="AA250" i="81" s="1" a="1"/>
  <c r="AA250" i="81" s="1"/>
  <c r="AD79" i="81" a="1"/>
  <c r="AD79" i="81" s="1"/>
  <c r="AD143" i="81" s="1" a="1"/>
  <c r="AD143" i="81" s="1"/>
  <c r="AD203" i="81" s="1" a="1"/>
  <c r="AD203" i="81" s="1"/>
  <c r="AD255" i="81" s="1" a="1"/>
  <c r="AD255" i="81" s="1"/>
  <c r="Z72" i="81" a="1"/>
  <c r="Z72" i="81" s="1"/>
  <c r="Z136" i="81" s="1" a="1"/>
  <c r="Z136" i="81" s="1"/>
  <c r="Z196" i="81" s="1" a="1"/>
  <c r="Z196" i="81" s="1"/>
  <c r="Z248" i="81" s="1" a="1"/>
  <c r="Z248" i="81" s="1"/>
  <c r="AE82" i="81" a="1"/>
  <c r="AE82" i="81" s="1"/>
  <c r="AE146" i="81" s="1" a="1"/>
  <c r="AE146" i="81" s="1"/>
  <c r="AE206" i="81" s="1" a="1"/>
  <c r="AE206" i="81" s="1"/>
  <c r="AE258" i="81" s="1" a="1"/>
  <c r="AE258" i="81" s="1"/>
  <c r="Z80" i="81" a="1"/>
  <c r="Z80" i="81" s="1"/>
  <c r="Z144" i="81" s="1" a="1"/>
  <c r="Z144" i="81" s="1"/>
  <c r="Z204" i="81" s="1" a="1"/>
  <c r="Z204" i="81" s="1"/>
  <c r="Z256" i="81" s="1" a="1"/>
  <c r="Z256" i="81" s="1"/>
  <c r="W75" i="81" a="1"/>
  <c r="W75" i="81" s="1"/>
  <c r="W139" i="81" s="1" a="1"/>
  <c r="W139" i="81" s="1"/>
  <c r="W199" i="81" s="1" a="1"/>
  <c r="W199" i="81" s="1"/>
  <c r="W251" i="81" s="1" a="1"/>
  <c r="W251" i="81" s="1"/>
  <c r="V75" i="81" a="1"/>
  <c r="V75" i="81" s="1"/>
  <c r="V139" i="81" s="1" a="1"/>
  <c r="V139" i="81" s="1"/>
  <c r="V199" i="81" s="1" a="1"/>
  <c r="V199" i="81" s="1"/>
  <c r="V251" i="81" s="1" a="1"/>
  <c r="V251" i="81" s="1"/>
  <c r="AC79" i="81" a="1"/>
  <c r="AC79" i="81" s="1"/>
  <c r="AC143" i="81" s="1" a="1"/>
  <c r="AC143" i="81" s="1"/>
  <c r="AC203" i="81" s="1" a="1"/>
  <c r="AC203" i="81" s="1"/>
  <c r="AC255" i="81" s="1" a="1"/>
  <c r="AC255" i="81" s="1"/>
  <c r="V80" i="81" a="1"/>
  <c r="V80" i="81" s="1"/>
  <c r="V144" i="81" s="1" a="1"/>
  <c r="V144" i="81" s="1"/>
  <c r="V204" i="81" s="1" a="1"/>
  <c r="V204" i="81" s="1"/>
  <c r="V256" i="81" s="1" a="1"/>
  <c r="V256" i="81" s="1"/>
  <c r="AA73" i="81" a="1"/>
  <c r="AA73" i="81" s="1"/>
  <c r="AA137" i="81" s="1" a="1"/>
  <c r="AA137" i="81" s="1"/>
  <c r="AA197" i="81" s="1" a="1"/>
  <c r="AA197" i="81" s="1"/>
  <c r="AA249" i="81" s="1" a="1"/>
  <c r="AA249" i="81" s="1"/>
  <c r="V261" i="81" l="1"/>
  <c r="V267" i="81" s="1" a="1"/>
  <c r="V267" i="81" s="1"/>
  <c r="X269" i="81" s="1"/>
  <c r="V272" i="81" s="1" a="1"/>
  <c r="V272" i="81" s="1"/>
  <c r="E212" i="81"/>
  <c r="E229" i="81" s="1" a="1"/>
  <c r="E229" i="81" s="1"/>
  <c r="G231" i="81" s="1"/>
  <c r="E234" i="81" s="1" a="1"/>
  <c r="E234" i="81" s="1"/>
  <c r="E8" i="13" a="1"/>
  <c r="E8" i="13" s="1"/>
  <c r="H8" i="13" s="1" a="1"/>
  <c r="H8" i="13" s="1"/>
  <c r="I13" i="83" l="1"/>
  <c r="E20" i="83" s="1" a="1"/>
  <c r="E20" i="83" s="1"/>
  <c r="I32" i="83" s="1"/>
  <c r="E36" i="83" s="1" a="1"/>
  <c r="E36" i="83" s="1"/>
  <c r="G38" i="83" s="1"/>
  <c r="E41" i="83" s="1" a="1"/>
  <c r="E41" i="83" s="1"/>
  <c r="J13" i="82"/>
  <c r="E16" i="82" s="1" a="1"/>
  <c r="E16" i="82" s="1"/>
  <c r="I28" i="82" s="1"/>
  <c r="E35" i="82" s="1" a="1"/>
  <c r="E35" i="82" s="1"/>
  <c r="G37" i="82" s="1"/>
  <c r="E40" i="82" s="1" a="1"/>
  <c r="E40" i="82" s="1"/>
  <c r="E9" i="13" a="1"/>
  <c r="E9" i="13" s="1"/>
  <c r="H9" i="13" s="1" a="1"/>
  <c r="H9" i="13" s="1"/>
  <c r="F8" i="13" a="1"/>
  <c r="F8" i="13" s="1"/>
  <c r="I8" i="13" s="1" a="1"/>
  <c r="I8" i="13" s="1"/>
  <c r="E10" i="13" l="1" a="1"/>
  <c r="E10" i="13" s="1"/>
  <c r="H10" i="13" s="1" a="1"/>
  <c r="H10" i="13" s="1"/>
  <c r="E11" i="13" a="1"/>
  <c r="E11" i="13" s="1"/>
  <c r="H11" i="13" s="1" a="1"/>
  <c r="H11" i="13" s="1"/>
  <c r="T13" i="82"/>
  <c r="O16" i="82" s="1" a="1"/>
  <c r="O16" i="82" s="1"/>
  <c r="S28" i="82" s="1"/>
  <c r="O35" i="82" s="1" a="1"/>
  <c r="O35" i="82" s="1"/>
  <c r="Q37" i="82" s="1"/>
  <c r="O40" i="82" s="1" a="1"/>
  <c r="O40" i="82" s="1"/>
  <c r="R13" i="83"/>
  <c r="N20" i="83" s="1" a="1"/>
  <c r="N20" i="83" s="1"/>
  <c r="R32" i="83" s="1"/>
  <c r="N36" i="83" s="1" a="1"/>
  <c r="N36" i="83" s="1"/>
  <c r="P38" i="83" s="1"/>
  <c r="N41" i="83" s="1" a="1"/>
  <c r="N41" i="83" s="1"/>
  <c r="H28" i="13" l="1"/>
  <c r="E38" i="13" s="1"/>
  <c r="E42" i="13" s="1"/>
  <c r="H63" i="13" s="1"/>
  <c r="F9" i="13" a="1"/>
  <c r="F9" i="13" s="1"/>
  <c r="I9" i="13" s="1" a="1"/>
  <c r="I9" i="13" s="1"/>
  <c r="F10" i="13" a="1"/>
  <c r="F10" i="13" s="1"/>
  <c r="I10" i="13" s="1" a="1"/>
  <c r="I10" i="13" s="1"/>
  <c r="F11" i="13" a="1"/>
  <c r="F11" i="13" s="1"/>
  <c r="I11" i="13" s="1" a="1"/>
  <c r="I11" i="13" s="1"/>
  <c r="H62" i="13" l="1"/>
  <c r="E59" i="13"/>
  <c r="H66" i="13" s="1"/>
  <c r="F7" i="13" l="1" a="1"/>
  <c r="F7" i="13" s="1"/>
  <c r="I7" i="13" s="1" a="1"/>
  <c r="I7" i="13" s="1"/>
  <c r="I28" i="13" s="1"/>
  <c r="F38" i="13" s="1"/>
  <c r="F42" i="13" s="1"/>
  <c r="F59" i="13" l="1"/>
  <c r="I67" i="13" s="1"/>
  <c r="I62" i="13"/>
  <c r="I63"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<sst xmlns="http://schemas.openxmlformats.org/spreadsheetml/2006/main" count="4822" uniqueCount="1194">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</sst>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1"/>
      <color theme="1"/>
      <name val="Times New Roman"/>
      <family val="2"/>
      <scheme val="minor"/>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2" fillId="4" borderId="0">
      <alignment horizontal="left" vertical="center"/>
    </xf>
    <xf numFmtId="0" fontId="42" fillId="17" borderId="2">
      <alignment horizontal="center" vertical="center"/>
    </xf>
  </cellStyleXfs>
  <cellXfs count="273">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10" fillId="0" borderId="0" xfId="55"/>
    <xf numFmtId="0" fontId="21" fillId="5" borderId="0" xfId="36">
      <alignment horizontal="left" vertical="center" indent="1"/>
    </xf>
    <xf numFmtId="0" fontId="37" fillId="4" borderId="0" xfId="47">
      <alignment horizontal="left" vertical="center"/>
    </xf>
    <xf numFmtId="0" fontId="56" fillId="9" borderId="4" xfId="34" applyFont="1">
      <alignment horizontal="left" vertical="center" indent="1"/>
    </xf>
    <xf numFmtId="0" fontId="13" fillId="6" borderId="0" xfId="28">
      <alignment horizontal="left" vertical="center" indent="1"/>
    </xf>
    <xf numFmtId="0" fontId="57" fillId="4" borderId="0" xfId="8" applyFont="1">
      <alignment horizontal="left" vertical="center"/>
    </xf>
    <xf numFmtId="170" fontId="26" fillId="4" borderId="2" xfId="68" applyNumberFormat="1" applyFont="1" applyFill="1" applyBorder="1" applyAlignment="1">
      <alignment horizontal="center" vertical="center"/>
    </xf>
    <xf numFmtId="0" fontId="38" fillId="4" borderId="0" xfId="59">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4" fillId="12" borderId="2" xfId="15" applyAlignment="1">
      <alignment horizontal="center" vertical="center" wrapText="1"/>
    </xf>
    <xf numFmtId="0" fontId="4" fillId="12" borderId="17" xfId="15" applyBorder="1">
      <alignment horizontal="center" vertical="center"/>
    </xf>
    <xf numFmtId="0" fontId="3" fillId="0" borderId="17" xfId="14" applyBorder="1">
      <alignment horizontal="center" vertical="center"/>
    </xf>
    <xf numFmtId="0" fontId="4" fillId="12" borderId="17" xfId="15" applyBorder="1" applyAlignment="1">
      <alignment horizontal="center" vertical="center" wrapText="1"/>
    </xf>
    <xf numFmtId="0" fontId="3" fillId="0" borderId="17" xfId="56" applyBorder="1">
      <alignment horizontal="center" vertical="center"/>
    </xf>
    <xf numFmtId="171" fontId="0" fillId="0" borderId="0" xfId="8" applyNumberFormat="1" applyFont="1" applyFill="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8" xfId="63" applyBorder="1">
      <alignment horizontal="left" vertical="center"/>
    </xf>
    <xf numFmtId="0" fontId="26" fillId="4" borderId="19" xfId="63" applyBorder="1">
      <alignment horizontal="left" vertical="center"/>
    </xf>
    <xf numFmtId="0" fontId="26" fillId="4" borderId="20"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60"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2" xfId="52" applyAlignment="1">
      <alignment horizontal="left" vertical="center"/>
    </xf>
    <xf numFmtId="0" fontId="26" fillId="4" borderId="18"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26" fillId="16" borderId="2" xfId="52" applyFill="1">
      <alignment horizontal="center" vertical="center"/>
    </xf>
    <xf numFmtId="0" fontId="44" fillId="4" borderId="1" xfId="8" applyFont="1" applyBorder="1">
      <alignment horizontal="left" vertical="center"/>
    </xf>
    <xf numFmtId="0" fontId="26" fillId="4" borderId="2" xfId="52" applyAlignment="1">
      <alignment vertical="center"/>
    </xf>
    <xf numFmtId="0" fontId="26" fillId="4" borderId="18" xfId="52" applyBorder="1" applyAlignment="1">
      <alignment vertical="center"/>
    </xf>
    <xf numFmtId="0" fontId="26" fillId="4" borderId="19" xfId="52" applyBorder="1" applyAlignment="1">
      <alignment vertical="center"/>
    </xf>
    <xf numFmtId="0" fontId="26" fillId="4" borderId="20" xfId="52" applyBorder="1" applyAlignment="1">
      <alignment vertical="center"/>
    </xf>
    <xf numFmtId="0" fontId="33" fillId="13" borderId="11" xfId="39" applyBorder="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33"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7"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4" fontId="55"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3" fillId="13" borderId="23" xfId="39" applyBorder="1">
      <alignment horizontal="left" vertical="center"/>
    </xf>
    <xf numFmtId="0" fontId="33" fillId="13" borderId="0" xfId="39" applyBorder="1">
      <alignment horizontal="left" vertical="center"/>
    </xf>
    <xf numFmtId="0" fontId="33" fillId="13" borderId="24"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6" fillId="4" borderId="19" xfId="52" applyBorder="1" applyAlignment="1">
      <alignment horizontal="left" vertical="center"/>
    </xf>
    <xf numFmtId="0" fontId="40" fillId="4" borderId="18" xfId="62" applyBorder="1">
      <alignment horizontal="left" vertical="center"/>
    </xf>
    <xf numFmtId="0" fontId="26" fillId="4" borderId="20" xfId="52" applyBorder="1">
      <alignment horizontal="center" vertical="center"/>
    </xf>
    <xf numFmtId="0" fontId="26" fillId="4" borderId="20"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30" fillId="4" borderId="25"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6"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6" fillId="4" borderId="17" xfId="52" applyBorder="1">
      <alignment horizontal="center" vertical="center"/>
    </xf>
    <xf numFmtId="9" fontId="0" fillId="0" borderId="17" xfId="16" applyFont="1" applyBorder="1">
      <alignment horizontal="center" vertical="center"/>
    </xf>
    <xf numFmtId="0" fontId="29" fillId="4" borderId="0" xfId="48" applyAlignment="1">
      <alignment horizontal="left" vertical="center"/>
    </xf>
    <xf numFmtId="173" fontId="74" fillId="4" borderId="2" xfId="52" applyNumberFormat="1" applyFont="1">
      <alignment horizontal="center" vertical="center"/>
    </xf>
    <xf numFmtId="0" fontId="25" fillId="4" borderId="0" xfId="50">
      <alignment horizontal="left" vertical="center"/>
    </xf>
    <xf numFmtId="4" fontId="26" fillId="4" borderId="17" xfId="46" applyBorder="1">
      <alignment horizontal="center" vertical="center"/>
    </xf>
    <xf numFmtId="173" fontId="74" fillId="4" borderId="17"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4" fillId="4" borderId="29" xfId="52" applyNumberFormat="1" applyFont="1" applyBorder="1">
      <alignment horizontal="center" vertical="center"/>
    </xf>
    <xf numFmtId="173" fontId="74" fillId="4" borderId="27" xfId="52" applyNumberFormat="1" applyFont="1" applyBorder="1">
      <alignment horizontal="center" vertical="center"/>
    </xf>
    <xf numFmtId="0" fontId="26" fillId="4" borderId="29" xfId="52" applyBorder="1">
      <alignment horizontal="center" vertical="center"/>
    </xf>
    <xf numFmtId="0" fontId="74" fillId="4" borderId="29" xfId="52" applyFont="1" applyBorder="1">
      <alignment horizontal="center" vertical="center"/>
    </xf>
    <xf numFmtId="0" fontId="4" fillId="4" borderId="26" xfId="7" applyBorder="1">
      <alignment horizontal="left" vertical="center"/>
    </xf>
    <xf numFmtId="165" fontId="72" fillId="4" borderId="26" xfId="0" applyNumberFormat="1" applyFont="1" applyFill="1" applyBorder="1"/>
    <xf numFmtId="0" fontId="7" fillId="4" borderId="26" xfId="12" applyBorder="1">
      <alignment horizontal="left" vertical="center" indent="1"/>
    </xf>
    <xf numFmtId="168" fontId="72" fillId="4" borderId="0" xfId="0" applyNumberFormat="1" applyFont="1" applyFill="1" applyAlignment="1">
      <alignment vertical="center"/>
    </xf>
    <xf numFmtId="165" fontId="72" fillId="4" borderId="26" xfId="0" applyNumberFormat="1" applyFont="1" applyFill="1" applyBorder="1" applyAlignment="1">
      <alignment vertical="center"/>
    </xf>
    <xf numFmtId="0" fontId="72" fillId="4" borderId="0" xfId="0" applyFont="1" applyFill="1" applyAlignment="1">
      <alignment vertical="center"/>
    </xf>
    <xf numFmtId="165" fontId="75" fillId="4" borderId="26" xfId="0" applyNumberFormat="1" applyFont="1" applyFill="1" applyBorder="1" applyAlignment="1">
      <alignment vertical="center"/>
    </xf>
    <xf numFmtId="168" fontId="74" fillId="4" borderId="2" xfId="46" applyNumberFormat="1" applyFont="1">
      <alignment horizontal="center" vertical="center"/>
    </xf>
    <xf numFmtId="168" fontId="74" fillId="4" borderId="17" xfId="46" applyNumberFormat="1" applyFont="1" applyBorder="1">
      <alignment horizontal="center" vertical="center"/>
    </xf>
    <xf numFmtId="168" fontId="74" fillId="4" borderId="29"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3" fillId="4" borderId="0" xfId="0" applyFont="1" applyFill="1" applyAlignment="1">
      <alignment horizontal="left" vertical="center"/>
    </xf>
    <xf numFmtId="0" fontId="44"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65" fillId="2" borderId="0" xfId="8" applyFont="1" applyFill="1">
      <alignment horizontal="left" vertical="center"/>
    </xf>
    <xf numFmtId="0" fontId="78"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9" fillId="4" borderId="1" xfId="0" applyFont="1" applyFill="1" applyBorder="1"/>
    <xf numFmtId="0" fontId="81" fillId="4" borderId="1" xfId="0" applyFont="1" applyFill="1" applyBorder="1"/>
    <xf numFmtId="0" fontId="23" fillId="0" borderId="0" xfId="0" applyFont="1"/>
    <xf numFmtId="0" fontId="1" fillId="0" borderId="0" xfId="69"/>
    <xf numFmtId="0" fontId="82"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4" fillId="4" borderId="2" xfId="52" applyFont="1">
      <alignment horizontal="center" vertical="center"/>
    </xf>
    <xf numFmtId="0" fontId="57"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530A9C96-DF8B-46B8-9E3A-CC722718B19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1731E337-3E5E-4B51-86CD-7F3A7B50689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6293F41F-C38B-4B0F-AE0F-06F2A61BEDAF}"/>
    <cellStyle name="Variable type other" xfId="64" xr:uid="{105BD9DE-B567-4DA0-87E6-C60A0ECC1C65}"/>
  </cellStyles>
  <dxfs count="56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61"/>
      <tableStyleElement type="headerRow" dxfId="560"/>
      <tableStyleElement type="totalRow" dxfId="559"/>
      <tableStyleElement type="firstColumn" dxfId="558"/>
      <tableStyleElement type="firstRowStripe" dxfId="557"/>
      <tableStyleElement type="secondRowStripe" dxfId="556"/>
    </tableStyle>
    <tableStyle name="Equation table" pivot="0" count="6" xr9:uid="{B247698E-E41D-4CCD-AA0A-C14817E9DE65}">
      <tableStyleElement type="wholeTable" dxfId="555"/>
      <tableStyleElement type="headerRow" dxfId="554"/>
      <tableStyleElement type="totalRow" dxfId="553"/>
      <tableStyleElement type="firstColumn" dxfId="552"/>
      <tableStyleElement type="firstRowStripe" dxfId="551"/>
      <tableStyleElement type="secondRowStripe" dxfId="55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55" Type="http://schemas.openxmlformats.org/officeDocument/2006/relationships/sharedStrings" Target="sharedStrings.xml" /><Relationship Id="rId63" Type="http://schemas.openxmlformats.org/officeDocument/2006/relationships/customXml" Target="../customXml/item2.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53" Type="http://schemas.openxmlformats.org/officeDocument/2006/relationships/theme" Target="theme/theme1.xml" /><Relationship Id="rId58" Type="http://schemas.microsoft.com/office/2017/06/relationships/rdRichValue" Target="richData/rdrichvalue.xml" /><Relationship Id="rId5" Type="http://schemas.openxmlformats.org/officeDocument/2006/relationships/worksheet" Target="worksheets/sheet5.xml" /><Relationship Id="rId61" Type="http://schemas.openxmlformats.org/officeDocument/2006/relationships/calcChain" Target="calcChain.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openxmlformats.org/officeDocument/2006/relationships/sheetMetadata" Target="metadata.xml" /><Relationship Id="rId64" Type="http://schemas.openxmlformats.org/officeDocument/2006/relationships/customXml" Target="../customXml/item3.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59" Type="http://schemas.microsoft.com/office/2017/06/relationships/rdRichValueStructure" Target="richData/rdrichvaluestructure.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styles" Target="styles.xml" /><Relationship Id="rId62"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microsoft.com/office/2022/10/relationships/richValueRel" Target="richData/richValueRel.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microsoft.com/office/2017/06/relationships/rdRichValueTypes" Target="richData/rdRichValueTypes.xml" /><Relationship Id="rId65" Type="http://schemas.openxmlformats.org/officeDocument/2006/relationships/customXml" Target="../customXml/item4.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17DE22-E486-43DF-A328-8B8E9ADEA713}"/>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17DE22-E486-43DF-A328-8B8E9ADEA713}"/>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BA5DB3-4886-42F3-88E8-6D086156CB7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3BA5DB3-4886-42F3-88E8-6D086156CB7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894AF0A-B19E-4F0D-9C0C-B8A1AFFB847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5894AF0A-B19E-4F0D-9C0C-B8A1AFFB847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DA94B44-DE4C-4BE8-A9EF-6A6793A5007F}"/>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DA94B44-DE4C-4BE8-A9EF-6A6793A5007F}"/>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285B136-0A22-4272-BD3B-35D23A3BB704}"/>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1285B136-0A22-4272-BD3B-35D23A3BB704}"/>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9C2EBC9-5612-48A7-92C6-A678F3183F5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89C2EBC9-5612-48A7-92C6-A678F3183F5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88845CF-4D33-4966-80A2-4D28CB3C0690}"/>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188845CF-4D33-4966-80A2-4D28CB3C0690}"/>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8AB8D34-AF36-4B1D-A45F-AFB444A74E7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78AB8D34-AF36-4B1D-A45F-AFB444A74E7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C4D095-E84E-426F-A0C1-885997CB246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6C4D095-E84E-426F-A0C1-885997CB246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3784469-9CDF-4016-A4AC-934036EDC6D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43784469-9CDF-4016-A4AC-934036EDC6D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9A263D-79EB-493B-A92F-0DAADE44C6E5}"/>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569A263D-79EB-493B-A92F-0DAADE44C6E5}"/>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9B27D4A-2BDA-4D17-9607-931BABA1370D}"/>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79B27D4A-2BDA-4D17-9607-931BABA1370D}"/>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1BED8F6-5463-4581-9F2A-5DEEA87D569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1BED8F6-5463-4581-9F2A-5DEEA87D569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8353AAE-9538-4EEA-ACA3-C04EA9F72B6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A8353AAE-9538-4EEA-ACA3-C04EA9F72B6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6FE62AC-5A57-4CFE-A7DC-0F9D3CCCFB8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86FE62AC-5A57-4CFE-A7DC-0F9D3CCCFB8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BF89FCB-9641-4D2F-867B-30F865FB3A2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FBF89FCB-9641-4D2F-867B-30F865FB3A2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8062091-841E-4C89-B159-78FC50A34A6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8062091-841E-4C89-B159-78FC50A34A6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120F5FE-FEFF-4A7D-BB46-72F552BD2F85}"/>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8120F5FE-FEFF-4A7D-BB46-72F552BD2F85}"/>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FEC5C45-975E-433C-B043-15DF4FFCD174}"/>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FEC5C45-975E-433C-B043-15DF4FFCD174}"/>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63C740B-E92E-4B7F-B0DC-9207061F7BA2}"/>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D63C740B-E92E-4B7F-B0DC-9207061F7BA2}"/>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C757AAC-3680-41EB-8401-09A3828DEC8E}"/>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C757AAC-3680-41EB-8401-09A3828DEC8E}"/>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8FDF5FF-2A29-4314-B9DA-BC381940060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8FDF5FF-2A29-4314-B9DA-BC381940060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85EA5EA-DD83-4B8C-BC80-3847D39E780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85EA5EA-DD83-4B8C-BC80-3847D39E7808}"/>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BB0064E-9DFF-4C49-AFED-E39920E110C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BB0064E-9DFF-4C49-AFED-E39920E110C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534770D-8C07-42FD-84E6-8517CC0E0C17}"/>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534770D-8C07-42FD-84E6-8517CC0E0C17}"/>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F4DE319-0108-4358-8814-D7CBD37B6AA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4F4DE319-0108-4358-8814-D7CBD37B6AA3}"/>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0A25274-F78F-4849-A34B-32BAB1222A4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0A25274-F78F-4849-A34B-32BAB1222A4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67E89DB-2A77-45E1-81D7-B5646667670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67E89DB-2A77-45E1-81D7-B5646667670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6F3049B-6DB6-424B-B12E-B3EADDE0BBB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6F3049B-6DB6-424B-B12E-B3EADDE0BBB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6869DE7-AB4C-4C42-B565-0721227C9C42}"/>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6869DE7-AB4C-4C42-B565-0721227C9C42}"/>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43BFE8-21B7-4AC1-A289-2C6FBD6F113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C43BFE8-21B7-4AC1-A289-2C6FBD6F113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C90806A-FC2A-47F5-9126-70AA0B9E38A9}"/>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C90806A-FC2A-47F5-9126-70AA0B9E38A9}"/>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AFE458E-08CE-43CA-8624-40E40D732E8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AFE458E-08CE-43CA-8624-40E40D732E8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9BC93C3-FF8E-4DC1-B318-05E74D1B150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9BC93C3-FF8E-4DC1-B318-05E74D1B150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A3C19F-8095-4401-A437-4FDBB103524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1A3C19F-8095-4401-A437-4FDBB103524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6B1AC89-F621-4780-93F3-A6D929DBAE8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16B1AC89-F621-4780-93F3-A6D929DBAE8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BB29A10-C884-4890-8800-17848ADC9DBB}"/>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BB29A10-C884-4890-8800-17848ADC9DBB}"/>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CE254A-A737-46AB-9DEF-97411DD4447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ECE254A-A737-46AB-9DEF-97411DD4447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83AE51-9690-4941-8F61-08AD44CC884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E83AE51-9690-4941-8F61-08AD44CC884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FF94A17-3FD6-4B94-BFF7-C1D0D5DB7B6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FF94A17-3FD6-4B94-BFF7-C1D0D5DB7B6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7ABF32-AFA0-454B-A728-B5A95102FE69}"/>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A7ABF32-AFA0-454B-A728-B5A95102FE69}"/>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9602123-28EE-4A6A-9634-1B3E0ED69B77}"/>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9602123-28EE-4A6A-9634-1B3E0ED69B77}"/>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1292744-36C1-4009-A24D-2A66DC06804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1292744-36C1-4009-A24D-2A66DC06804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9D7F39-3EF6-4FA3-A68E-59F60C6FA5ED}"/>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319D7F39-3EF6-4FA3-A68E-59F60C6FA5ED}"/>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8AE846-508D-4F36-BA65-D2783232262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A8AE846-508D-4F36-BA65-D2783232262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90BF9BF-0676-4025-8EA8-C1918DCFF3E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90BF9BF-0676-4025-8EA8-C1918DCFF3E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FF26E66-9E3B-4F23-BEFA-EE634DD6BE7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FF26E66-9E3B-4F23-BEFA-EE634DD6BE7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9C2534-F781-4066-8221-9067829188AB}"/>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9C2534-F781-4066-8221-9067829188AB}"/>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41B0918-E908-40C8-AC92-2C387D0213E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41B0918-E908-40C8-AC92-2C387D0213E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98C481-33C6-4FEA-A6F4-95DF045360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098C481-33C6-4FEA-A6F4-95DF045360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8640C3F-8D7B-4581-833A-A7F5BB42123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8640C3F-8D7B-4581-833A-A7F5BB42123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2FAC74E-2D01-4E3D-8FA2-13DDC596F01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2FAC74E-2D01-4E3D-8FA2-13DDC596F01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53D9213-13FF-4503-A778-9CE554D8868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53D9213-13FF-4503-A778-9CE554D8868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876FC57-5BB1-4717-A9F1-86A958EDC94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876FC57-5BB1-4717-A9F1-86A958EDC94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774C49-9246-489C-943C-9D61E1B933D6}"/>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6774C49-9246-489C-943C-9D61E1B933D6}"/>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C95A08-B88A-46C0-8D95-D3413FCFE688}"/>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C95A08-B88A-46C0-8D95-D3413FCFE688}"/>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0E2B531-CFDA-4413-AF0C-BBD831D185E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0E2B531-CFDA-4413-AF0C-BBD831D185E2}"/>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4AF34CE-2DDD-42CC-B2F6-2724EEC1F7E0}"/>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4AF34CE-2DDD-42CC-B2F6-2724EEC1F7E0}"/>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A6DDA7A-93BD-4496-9E5A-8791067491DC}"/>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7A6DDA7A-93BD-4496-9E5A-8791067491DC}"/>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359156E-E1DD-4847-AFEE-A7F9E96C9D05}"/>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359156E-E1DD-4847-AFEE-A7F9E96C9D05}"/>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F658A0D-7BDD-4E83-A442-1BBDDDDDD870}"/>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F658A0D-7BDD-4E83-A442-1BBDDDDDD870}"/>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201ED2C-BCD8-4BDF-8A44-B7EAEA03A9F5}"/>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0201ED2C-BCD8-4BDF-8A44-B7EAEA03A9F5}"/>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90FEE46-42D5-4288-861C-4E3596C0C51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B90FEE46-42D5-4288-861C-4E3596C0C51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96E38C4-2317-4141-B4C3-EBEA85D96B35}"/>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96E38C4-2317-4141-B4C3-EBEA85D96B35}"/>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8321B73B-0010-4106-8F89-C240F3E7E1AB}"/>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8321B73B-0010-4106-8F89-C240F3E7E1AB}"/>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B50852A-F4C6-4892-B96D-F98E87DD9B46}"/>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AB50852A-F4C6-4892-B96D-F98E87DD9B46}"/>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2ECE3EC-7689-485F-8962-174A136E9FC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2ECE3EC-7689-485F-8962-174A136E9FC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6DEFA9D-B771-432D-84FF-D2B45916A09F}"/>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6DEFA9D-B771-432D-84FF-D2B45916A09F}"/>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EB9E4B2-6639-4026-8E43-A1D28A1D478B}"/>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0EB9E4B2-6639-4026-8E43-A1D28A1D478B}"/>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DA315206-A8AD-4D9A-91F8-30B2F77B92E9}"/>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DA315206-A8AD-4D9A-91F8-30B2F77B92E9}"/>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8AB8FD87-E57B-417C-85CA-549587264EC4}"/>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8AB8FD87-E57B-417C-85CA-549587264EC4}"/>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7336E45B-455A-41A9-BF97-3500503ECC5E}"/>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7336E45B-455A-41A9-BF97-3500503ECC5E}"/>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F8C2C48A-3994-49FE-ADC9-2E2D0FF43B6F}"/>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F8C2C48A-3994-49FE-ADC9-2E2D0FF43B6F}"/>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421A6CC-E767-4BE4-995B-3D82CBDADCC7}"/>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421A6CC-E767-4BE4-995B-3D82CBDADCC7}"/>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B78FB78-062B-4EAC-985A-54C375A594B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B78FB78-062B-4EAC-985A-54C375A594B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B353880-10E2-4E2A-B9E2-0092F0962AA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B353880-10E2-4E2A-B9E2-0092F0962AA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639FF83-AFEF-4C4A-ADB4-6CD170E96187}"/>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639FF83-AFEF-4C4A-ADB4-6CD170E96187}"/>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8E83F3E-636C-4451-9E86-0EAF0B16D47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B8E83F3E-636C-4451-9E86-0EAF0B16D47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F33690B-11DF-4E4C-82D5-F09C89954E2D}"/>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7F33690B-11DF-4E4C-82D5-F09C89954E2D}"/>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D131FC1-2099-4387-A414-C9B21BD90B89}"/>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D131FC1-2099-4387-A414-C9B21BD90B89}"/>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2B057AA-B5EA-4EA6-8A52-58F5381DC8E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32B057AA-B5EA-4EA6-8A52-58F5381DC8E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F08A975A-5CB2-4D59-8120-AF9A660BD363}"/>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F08A975A-5CB2-4D59-8120-AF9A660BD363}"/>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ADF9EA1-DBF5-4B54-AFEE-A4210D073CB4}"/>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4ADF9EA1-DBF5-4B54-AFEE-A4210D073CB4}"/>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F87CB06-3017-4003-A578-7E95A569134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F87CB06-3017-4003-A578-7E95A569134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9F659B5-1676-4A8C-B5F7-93CC3DA5A1F7}"/>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9F659B5-1676-4A8C-B5F7-93CC3DA5A1F7}"/>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F9B10096-231D-4E2C-A15C-3D1836D95856}"/>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3AE60B50-3CC4-4572-A088-BAA1774F0E1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BD9109E0-958A-4351-BB07-0A5BEC4E2AD4}"/>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07442819-7E34-4504-9552-AC4DCB756163}"/>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D34DECC7-9014-4CEA-A8A7-BAA55EF90E43}"/>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3EEB1A5-CFCD-4863-A539-B37FBE40A44C}"/>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E35EEC4-E413-4DED-A1A0-062A532A7CD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A759ECAD-8829-4104-A97B-468201AF2C6A}"/>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A5DF88B-1018-4163-A379-3025638E976C}"/>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7B2CD65E-B733-48F8-9166-5FB004C1184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9F43C4E5-604C-406B-B982-5B429DF8001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921694B8-437D-4DFC-B48F-3B42383799BE}"/>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ECDC2799-FAE4-4DCC-B1A1-6816C3CAD61D}"/>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5A9B9604-C71C-4CB3-8ED0-050D4197B292}"/>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9BD2B091-08A6-44EC-B976-CD5B9C970BBD}"/>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02455EFB-5499-46DC-93A8-6BC275E2F2A6}"/>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897F290E-5AED-4DD3-8319-F60B18BBF08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DCDA9759-FC45-4F74-87CF-8F9D1E4E4077}"/>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F6B347CF-9154-43F5-980B-016EF7391194}"/>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41726A03-9BA9-49CC-B60A-4B4DAB82CDBF}"/>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DB5AC2AC-B12E-4375-9FFA-C167806E0C6A}"/>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ABBBF65E-570F-4A7D-BEF5-C20D9E5AACFF}"/>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33079617-84D9-464D-81A6-8C9EBF13199B}"/>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F4EC33CE-F02B-43AE-A294-AC42FC90929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F71CC39E-12D7-491E-8650-8157A7D3F482}"/>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D5E6C912-141E-46AE-9B47-C998E4EFBFAB}"/>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652A8615-A0C2-47D3-B55D-6CC10FA28C2B}"/>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16C644E-AB52-43B6-AF34-97DB498E15A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ACC60638-EE57-49AF-8646-6EC675049185}"/>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FB219022-4CBE-4071-81FA-4B2934F8FFA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B5D6D889-F39E-4DB0-B330-8BC6E94F5373}"/>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2A9BB563-52F8-4C6A-86DA-FA416ADCE3DE}"/>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BE147E04-2365-44BA-A70D-2A0A70407A60}"/>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E55220B0-6941-44F2-A6D0-16552837D75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595E7C91-8DAA-452F-A739-10DE50F266BD}"/>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7CFD651A-B12F-43EC-8C8C-9F6F99E7B63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EF976BF9-87E2-4251-BA0C-D7D3866328C9}"/>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3DFB1A2-8E28-48BF-92C1-AD09F787521D}"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C683F9ED-F76A-451F-90CE-C89327EBA0F5}" name="Transaction name" dataCellStyle="Input text"/>
    <tableColumn id="1" xr3:uid="{F44491C5-9447-4292-92C1-202FE84742EE}" name="Class (select)" dataCellStyle="Input select"/>
    <tableColumn id="2" xr3:uid="{BA9C002B-4522-42F4-83EE-A127DFF6BDA3}" name="Sale date" dataDxfId="549"/>
    <tableColumn id="3" xr3:uid="{C99507C2-9D4D-41C9-BEDA-50CA053A04FE}" name="Head sold"/>
    <tableColumn id="4" xr3:uid="{14F64F2B-AC25-4E17-8863-43A8EF7DBE53}" name="Average weight per head (kg)"/>
    <tableColumn id="5" xr3:uid="{84DFC0AF-8F59-40AE-A2EA-447484DF9FAC}"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E726EC9-F3C8-4216-8CCF-BC00A50F73AE}"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590EC0AF-4B41-40CC-AC65-25816BDA6B0E}" name="Transaction name" dataCellStyle="Input text"/>
    <tableColumn id="13" xr3:uid="{D3C561A6-0A76-41F1-B12F-6C3372C4BC00}" name="Purchase date" dataCellStyle="Input text"/>
    <tableColumn id="11" xr3:uid="{F34DBFCA-A352-4074-AD9A-2FED8C8CFA83}" name="Class (select)" dataDxfId="548" dataCellStyle="Input select"/>
    <tableColumn id="2" xr3:uid="{A83E275B-0728-4787-BBCE-DD12F17CEE38}" name="Purchase class (select)" dataDxfId="547" dataCellStyle="Input select"/>
    <tableColumn id="6" xr3:uid="{B4E43668-A0C6-4471-A70B-036BC9706C94}" name="Source region (Select)" dataDxfId="546" dataCellStyle="Input select"/>
    <tableColumn id="3" xr3:uid="{A77B120B-C39B-4CDE-B502-F3F070FF3A95}" name="Quantity (head)" dataCellStyle="Input number general"/>
    <tableColumn id="12" xr3:uid="{CD1B76AD-8403-45AA-865B-8F491A89A5A1}" name="Liveweight (kg/head) Method 1" dataCellStyle="Input number general calculated"/>
    <tableColumn id="4" xr3:uid="{9823F469-BE0E-4D8A-8945-FA08021D8116}"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65FD5F-5FE9-48B6-BD6C-A73552670A02}" name="Table_Input_LivestockSales" displayName="Table_Input_LivestockSales" ref="D206:I216" totalsRowShown="0">
  <autoFilter ref="D206:I216" xr:uid="{484622CD-CCF3-4BB9-AAA9-4F75EF631CF3}"/>
  <tableColumns count="6">
    <tableColumn id="6" xr3:uid="{2707840C-F88E-471A-81EF-C6DD9F6E7D40}" name="Transaction name" dataCellStyle="Input text"/>
    <tableColumn id="1" xr3:uid="{3C22942F-B560-4CC1-831C-0E4C1230D6BE}" name="Class (select)" dataCellStyle="Input select"/>
    <tableColumn id="2" xr3:uid="{0303E92F-6B3C-4893-9501-019CCB010882}" name="Sale date" dataDxfId="545"/>
    <tableColumn id="3" xr3:uid="{728DFF59-543E-4447-B22D-6F5324AE150F}" name="Head sold"/>
    <tableColumn id="4" xr3:uid="{E77FE197-75F6-4013-AD00-5A3402B95AFC}" name="Average weight per head (kg)"/>
    <tableColumn id="5" xr3:uid="{79300B36-DAA7-43F8-9125-068CB5E484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22F38A-BB0B-4D6E-A2EA-8F5362D091FB}" name="Table_Input_LivestockPurchases_Beefcattle" displayName="Table_Input_LivestockPurchases_Beefcattle" ref="D190:K200" totalsRowShown="0">
  <autoFilter ref="D190:K200" xr:uid="{AAB6424C-3730-40E0-8F0E-53BDFDC2DDBB}"/>
  <tableColumns count="8">
    <tableColumn id="9" xr3:uid="{33EAC7F3-FB9E-42E3-B7F8-F55AE3941899}" name="Transaction name" dataCellStyle="Input text"/>
    <tableColumn id="13" xr3:uid="{BE8931AB-F553-444B-BE1B-D31D7A1497B1}" name="Purchase date" dataCellStyle="Input text"/>
    <tableColumn id="11" xr3:uid="{CDB3D536-6B90-4C71-80B9-3DE7A17905E8}" name="Class (select)" dataDxfId="544" dataCellStyle="Input select"/>
    <tableColumn id="2" xr3:uid="{D2422995-3D47-452F-93C1-C3F82F726C9D}" name="Purchase class (select)" dataDxfId="543" dataCellStyle="Input select"/>
    <tableColumn id="6" xr3:uid="{79617E4B-399A-4228-8D7F-579C39162870}" name="Source region (Select)" dataDxfId="542" dataCellStyle="Input select"/>
    <tableColumn id="3" xr3:uid="{73611990-B8A6-44C3-AD19-852C79850D16}" name="Quantity (head)" dataCellStyle="Input number general"/>
    <tableColumn id="12" xr3:uid="{A4373BBA-E3BF-4440-BF49-D0A9CB6D4339}" name="Liveweight (kg/head) Method 1" dataCellStyle="Input number general calculated"/>
    <tableColumn id="4" xr3:uid="{452D47D9-D76C-42B7-9B3C-45B9520F6F20}"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BCF86061-A352-4B5A-9117-6820B803D09E}" name="Table_Input_InorganicFertiliser_Brands" displayName="Table_Input_InorganicFertiliser_Brands" ref="D17:X22" headerRowDxfId="541" dataDxfId="540" totalsRowDxfId="53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F965E74-FF3F-4282-AD4A-D80BF3B00B34}" name="Product (select)" dataDxfId="538" totalsRowDxfId="537" dataCellStyle="Input select"/>
    <tableColumn id="23" xr3:uid="{A924256F-1E47-44F0-A7D9-275A36CC7030}" name="Amount applied per hectare" totalsRowFunction="custom" dataDxfId="536" totalsRowDxfId="535">
      <totalsRowFormula>SUM(Table_Input_InorganicFertiliser_Brands[[#Headers],[#Data],[Amount applied per hectare]])</totalsRowFormula>
    </tableColumn>
    <tableColumn id="12" xr3:uid="{9FFF8242-283A-4541-8BD5-FC4C5E1DDC6C}" name="Application unit" dataDxfId="534" totalsRowDxfId="533" dataCellStyle="Input number 2 decimal places"/>
    <tableColumn id="9" xr3:uid="{FFB2DED9-0381-4885-B5E9-43433C09650B}" name="Density" dataDxfId="532" totalsRowDxfId="531" dataCellStyle="Input number 2 decimal places"/>
    <tableColumn id="6" xr3:uid="{9E4F56C4-F96F-4935-9A4C-38ED6A2F2839}" name="Application area (ha)" dataDxfId="530" totalsRowDxfId="529">
      <calculatedColumnFormula>$E$9</calculatedColumnFormula>
    </tableColumn>
    <tableColumn id="1" xr3:uid="{D167566E-08AA-4F0C-B1AD-A4426143B042}" name="Total applied (kg)" dataDxfId="528" totalsRowDxfId="52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CBFE007-C1B1-4569-9E27-03E2568D4153}" name="Ingredient 1" dataDxfId="526" totalsRowDxfId="525" dataCellStyle="Input number general calculated"/>
    <tableColumn id="4" xr3:uid="{963D7476-8511-40F5-A188-3D1D46132123}" name="Ingredient 1 percent" dataDxfId="524" totalsRowDxfId="523" dataCellStyle="Input number general calculated"/>
    <tableColumn id="7" xr3:uid="{DC53A515-2752-4AA3-9473-2A7E4DFB236A}" name="Ingredient 2" dataDxfId="522" dataCellStyle="Input number general calculated"/>
    <tableColumn id="8" xr3:uid="{5926CDF6-A188-49BD-BB40-3C564032515D}" name="Ingredient 2 percent" dataDxfId="521" totalsRowDxfId="520" dataCellStyle="Input number general calculated"/>
    <tableColumn id="10" xr3:uid="{AB876B71-15F0-4F1F-A854-AAE28E83FAF6}" name="Ingredient 3" dataDxfId="519" totalsRowDxfId="518" dataCellStyle="Input number general calculated"/>
    <tableColumn id="11" xr3:uid="{3073822E-66EE-4AEA-B62B-F70889C74251}" name="Ingredient 3 percent" dataDxfId="517" totalsRowDxfId="516" dataCellStyle="Input number general calculated"/>
    <tableColumn id="13" xr3:uid="{10BAAA7C-B4E1-4202-85B3-241F1657B19A}" name="Ingredient 4" dataDxfId="515" totalsRowDxfId="514" dataCellStyle="Input number general calculated"/>
    <tableColumn id="14" xr3:uid="{B51865DB-1EB4-4825-B3E0-213821C6DB5F}" name="Ingredient 4 percent" dataDxfId="513" dataCellStyle="Input number general calculated"/>
    <tableColumn id="16" xr3:uid="{7B568A40-989D-4113-BE54-D3A01E250D36}" name="Ingredient 5" dataDxfId="512" dataCellStyle="Input number general calculated"/>
    <tableColumn id="17" xr3:uid="{B537A1ED-B665-4428-9929-034BFFE6EFF8}" name="Ingredient 5 percent" dataDxfId="511" dataCellStyle="Input number general calculated"/>
    <tableColumn id="19" xr3:uid="{C6A93B8D-735F-409E-8DBA-E43D0132B8DC}" name="Ingredient 6" dataDxfId="510" dataCellStyle="Input number general calculated"/>
    <tableColumn id="20" xr3:uid="{03ED7481-967A-4B2A-A2C9-7B38EBBCE782}" name="Ingredient 6 percent" dataDxfId="509" dataCellStyle="Input number general calculated"/>
    <tableColumn id="5" xr3:uid="{B0F69121-226A-4127-B2AD-A7FE350E0DEB}" name="N application rate (kg/ha)" dataDxfId="508" totalsRowDxfId="507" dataCellStyle="Input number general calculated"/>
    <tableColumn id="15" xr3:uid="{8692FE0C-E13D-439B-A877-C4268BF259FC}" name="Urea source" dataDxfId="506" totalsRowDxfId="505" dataCellStyle="Input number general calculated"/>
    <tableColumn id="18" xr3:uid="{941B2F34-63A7-4F48-AA9B-19B4E9CFF87F}" name="Ammonia source" dataDxfId="504" totalsRowDxfId="50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A165147-754D-4BEC-B63D-8A5D74E9E7C0}" name="Table_Input_InorganicFertiliser_Custom" displayName="Table_Input_InorganicFertiliser_Custom" ref="D25:R28" totalsRowShown="0" headerRowDxfId="502" dataDxfId="50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3613879-278F-49F6-8FF1-5BC5909A994B}" name="Custom blend name" dataCellStyle="Input text"/>
    <tableColumn id="2" xr3:uid="{47571D51-32A5-481E-8F9E-4E2A975E9BE8}" name="Amount applied (kg / ha)" dataDxfId="500"/>
    <tableColumn id="3" xr3:uid="{0F6E7791-4F78-47FC-9F95-1F1A1EE30A68}" name="Application area (ha)" dataDxfId="499" dataCellStyle="Input number 2 decimal places">
      <calculatedColumnFormula>$E$9</calculatedColumnFormula>
    </tableColumn>
    <tableColumn id="4" xr3:uid="{414499EE-325F-4C7A-8726-7C62274D6698}" name="Total applied (kg)" dataDxfId="498" dataCellStyle="Input number general calculated">
      <calculatedColumnFormula>Table_Input_InorganicFertiliser_Custom[[#This Row],[Amount applied (kg / ha)]]*Table_Input_InorganicFertiliser_Custom[[#This Row],[Application area (ha)]]</calculatedColumnFormula>
    </tableColumn>
    <tableColumn id="5" xr3:uid="{BEEA831F-8A22-49D8-AB1C-0A711EDFC0C6}" name="Ingredient 1 (select)" dataDxfId="497" dataCellStyle="Input select"/>
    <tableColumn id="6" xr3:uid="{541C1731-1C68-43F0-B8C7-FA414E7C8A25}" name="Ingredient 1 percent" dataDxfId="496"/>
    <tableColumn id="8" xr3:uid="{3C23F465-5726-4EDF-BB64-2690AE846169}" name="Ingredient 2" dataDxfId="495" dataCellStyle="Input select"/>
    <tableColumn id="9" xr3:uid="{AC4354CC-33AF-4C01-9249-5607543515E4}" name="Ingredient 2 percent" dataDxfId="494"/>
    <tableColumn id="11" xr3:uid="{BBF3FC55-1296-48D4-9DB1-8B9A3D6E15CC}" name="Ingredient 3" dataDxfId="493" dataCellStyle="Input select"/>
    <tableColumn id="12" xr3:uid="{348B8B4C-2CF5-43F6-A500-05B1F39AE255}" name="Ingredient 3 percent" dataDxfId="492"/>
    <tableColumn id="14" xr3:uid="{B529045F-A627-4C48-95FA-79946EE3FF92}" name="Ingredient 4" dataDxfId="491" dataCellStyle="Input select"/>
    <tableColumn id="15" xr3:uid="{13A63A3A-FC63-4A28-86CE-AE6890FFA65E}" name="Ingredient 4 percent" dataCellStyle="Input percent"/>
    <tableColumn id="7" xr3:uid="{93969340-FBAE-4E94-A664-8B05C362984C}" name="N application rate (kg/ha)" dataDxfId="490" dataCellStyle="Input number general calculated"/>
    <tableColumn id="10" xr3:uid="{B8A7DB73-D6E3-4CFA-9C67-98D97E017521}" name="Urea source (Select)" dataCellStyle="Input select"/>
    <tableColumn id="13" xr3:uid="{34E221A7-1306-44A2-9E0F-42307BD4874B}"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79BE8DC-1740-427B-AA40-F47A84AA9B2F}" name="Table_Input_Lime" displayName="Table_Input_Lime" ref="D36:K39" totalsRowShown="0" headerRowDxfId="489" dataDxfId="48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5E17688-A6F2-48A4-B005-AB735623132B}" name="Product" dataDxfId="487"/>
    <tableColumn id="2" xr3:uid="{FE76A471-DD35-4787-AC33-B2F9B99DB3D1}" name="Amount applied (t/hectare)" dataDxfId="486"/>
    <tableColumn id="4" xr3:uid="{BEA3ABC5-BA42-46EC-9E24-BDBDDCFF8C53}" name="Application area (ha)" dataDxfId="485">
      <calculatedColumnFormula>$E$9</calculatedColumnFormula>
    </tableColumn>
    <tableColumn id="3" xr3:uid="{AE4CFC73-A917-4FB2-B4DB-AF62293A4E11}" name="Total amount applied (t)" dataDxfId="484" dataCellStyle="Input number general calculated">
      <calculatedColumnFormula>IFERROR(Table_Input_Lime[[#This Row],[Amount applied (t/hectare)]]*Table_Input_Lime[[#This Row],[Application area (ha)]], 0)</calculatedColumnFormula>
    </tableColumn>
    <tableColumn id="6" xr3:uid="{4B9E3A34-3527-44A9-91E8-4379472D9EEF}" name="Percent Lime CaCO3" dataDxfId="483"/>
    <tableColumn id="8" xr3:uid="{DAE9ED74-3BEB-4DE3-94E4-FF1F378BBBE5}" name="Percent Dolomite CaMg(CO3)2" dataDxfId="482"/>
    <tableColumn id="7" xr3:uid="{CD5C2134-1D17-4162-9B0D-B187D09D22AE}" name="Percent Gypsum" dataDxfId="481"/>
    <tableColumn id="10" xr3:uid="{1C805563-4BB5-460A-B84C-ABB93390216A}" name="Total" dataDxfId="48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F0AD92C-42C6-420F-9298-6CDF68473945}" name="Table_Input_OrganicFertiliser" displayName="Table_Input_OrganicFertiliser" ref="D47:J50" totalsRowShown="0" headerRowDxfId="479" dataDxfId="47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5D343AA-1FA9-43AC-90CA-D692707C6EC1}" name="Organic fertiliser type (select)" dataDxfId="477" dataCellStyle="Input select"/>
    <tableColumn id="5" xr3:uid="{54E78927-F0EC-41DF-BB63-923D2FAD9BED}" name="Percentage of N in fertiliser" dataDxfId="476"/>
    <tableColumn id="2" xr3:uid="{A86731A9-FFBA-469F-A491-ED0655418B01}" name="Amount applied (kg/hectare)" dataDxfId="475"/>
    <tableColumn id="11" xr3:uid="{604E77B7-E18A-4AA6-B8DA-48FDEDEF64CC}" name="Amount N applied (kg/hectare)" dataDxfId="474" dataCellStyle="Input number general calculated">
      <calculatedColumnFormula>Table_Input_OrganicFertiliser[[#This Row],[Amount applied (kg/hectare)]]*Table_Input_OrganicFertiliser[[#This Row],[Percentage of N in fertiliser]]</calculatedColumnFormula>
    </tableColumn>
    <tableColumn id="4" xr3:uid="{435621FB-9205-49E7-87E2-BBEE1EAD509B}" name="Application area (ha)" dataDxfId="473">
      <calculatedColumnFormula>$E$9</calculatedColumnFormula>
    </tableColumn>
    <tableColumn id="7" xr3:uid="{7F0E05D5-9722-4450-91AF-583951E7CBFF}" name="Total organic fertliser applied" dataDxfId="472" dataCellStyle="Input number general calculated">
      <calculatedColumnFormula>Table_Input_OrganicFertiliser[[#This Row],[Amount applied (kg/hectare)]]*Table_Input_OrganicFertiliser[[#This Row],[Application area (ha)]]</calculatedColumnFormula>
    </tableColumn>
    <tableColumn id="3" xr3:uid="{83A892DC-97E2-4AA7-9D8D-07BB9285A682}" name="Total nitrogen applied (kg)" dataDxfId="47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86CE803-DD81-470A-A0D2-276AED9CF886}" name="Table_Input_Fuel" displayName="Table_Input_Fuel" ref="D16:J21" totalsRowDxfId="47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D5EF6A6-F171-4B81-83CB-16A780B81D1C}" name="Fuel use (select)" totalsRowFunction="average" totalsRowDxfId="469" dataCellStyle="Input select" totalsRowCellStyle="Input select"/>
    <tableColumn id="3" xr3:uid="{A8707200-9F07-469C-8B08-364A6279B39D}" name="Fuel type (select)" totalsRowDxfId="468" dataCellStyle="Input select" totalsRowCellStyle="Input select"/>
    <tableColumn id="4" xr3:uid="{B2DB33FD-9992-46D6-9033-2797BD848F7F}" name="Amount purchased" totalsRowDxfId="467" totalsRowCellStyle="Content bold"/>
    <tableColumn id="6" xr3:uid="{69F41669-B336-4A14-9776-2082A8B1EC5F}" name="Amount unit" totalsRowDxfId="466" dataCellStyle="Input number general calculated" totalsRowCellStyle="Input text calculated"/>
    <tableColumn id="5" xr3:uid="{3BBA14F9-F36E-4CE5-8E17-2312C0E656DB}" name="Percent consumed" totalsRowDxfId="465" totalsRowCellStyle="Input percent">
      <calculatedColumnFormula>1</calculatedColumnFormula>
    </tableColumn>
    <tableColumn id="1" xr3:uid="{2009CAFC-4BD8-4E43-A440-5BFB5C0DA954}" name="Amount consumed" totalsRowFunction="custom" totalsRowDxfId="46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4ADEE21-02A2-4498-90D7-0EBE5A408A5F}" name="Amount consumed unit" totalsRowDxfId="463"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DA68981F-B17A-425F-8EBA-CEE3925DAF19}"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77AF8A3-72DE-4536-81C7-1D8FA6E72E94}" name="Description"/>
    <tableColumn id="5" xr3:uid="{C005FAAC-094A-4A24-A888-A34C8B32C6E3}" name="Source (select)" dataCellStyle="Input select"/>
    <tableColumn id="2" xr3:uid="{B9DFEC2E-8424-4D2B-AC98-F7C57CF10EE1}" name="Generation date" dataDxfId="462"/>
    <tableColumn id="3" xr3:uid="{45C10730-5ACD-4FD9-9EE9-C1254D85B0FB}" name="Number of certificates"/>
    <tableColumn id="4" xr3:uid="{F5D54523-3D36-4EDE-9729-432278AE362D}" name="MWh" dataCellStyle="Input number general calculated">
      <calculatedColumnFormula>Table_Input_RECSurrendered[[#This Row],[Number of certificates]]</calculatedColumnFormula>
    </tableColumn>
    <tableColumn id="7" xr3:uid="{D98A7094-2DC6-4C39-B980-499D902C25F1}"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70DB62B-2160-4294-AFDA-F146CABBFEC6}"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61C13CF-FB0A-4854-AFBB-EA62F5320AF2}" name="Description"/>
    <tableColumn id="5" xr3:uid="{26009204-AEE8-4334-87C0-E762CE78591E}" name="Source" dataCellStyle="Input text calculated">
      <calculatedColumnFormula>"Issued for generated electricity"</calculatedColumnFormula>
    </tableColumn>
    <tableColumn id="2" xr3:uid="{1DADCB43-6ED9-4521-9F8B-3E01E2C56632}" name="Generation date" dataDxfId="461"/>
    <tableColumn id="3" xr3:uid="{0288B94D-8F8D-4F1A-ABDA-562BC03E4A0C}" name="Number of certificates"/>
    <tableColumn id="4" xr3:uid="{4F750E88-69FC-4EDC-B5E8-8FA216EB2163}" name="MWh" dataCellStyle="Input number general calculated">
      <calculatedColumnFormula>Table_Input_RECConsumedByEntity[[#This Row],[Number of certificates]]</calculatedColumnFormula>
    </tableColumn>
    <tableColumn id="7" xr3:uid="{E955FC1A-222E-4639-809E-F336074E5BDC}"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30F6B38-14A0-47F9-AF3F-12C56FE6BC00}"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DFAB6F92-8885-469A-ACA4-841726C8BCAA}" name="Product name" dataCellStyle="Input text"/>
    <tableColumn id="1" xr3:uid="{9979663B-67D6-403D-A406-630FF77C1557}" name="Type (select)" dataCellStyle="Input select"/>
    <tableColumn id="2" xr3:uid="{35C499F0-D0DF-4139-A14B-C8C73F444713}" name="Quantity purchased (kg)"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9FB53BE2-4989-4C33-83AF-49486D8FDF07}" name="Table_Input_Packaging" displayName="Table_Input_Packaging" ref="D92:H102" totalsRowShown="0" headerRowDxfId="46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41A95F8-E8E6-4ADC-BDAB-6C0DA2F8A4BF}" name="Packaging name"/>
    <tableColumn id="3" xr3:uid="{58265CFD-49BD-4F30-BFB6-1421B1400AC1}" name="Quantity purchased" dataDxfId="459" dataCellStyle="Input number general"/>
    <tableColumn id="2" xr3:uid="{09C58C5C-10E7-4BC7-9A47-548D84F3103D}" name="Primary material" dataCellStyle="Input select"/>
    <tableColumn id="4" xr3:uid="{C8919A46-F33D-4729-82CB-7AC92668C3C2}" name="Weight per unit (kg)" dataCellStyle="Input number general"/>
    <tableColumn id="6" xr3:uid="{C8F12DA4-5345-4CA0-B591-0726A701D088}"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839B4E4C-68D4-4D46-9D2E-58BCE13C8BA0}" name="Table_Input_Pesticides" displayName="Table_Input_Pesticides" ref="D10:R20" totalsRowShown="0" headerRowDxfId="45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6B84EE6-8E84-4FE8-ABD6-4E67918959BA}" name="Product name"/>
    <tableColumn id="2" xr3:uid="{D193F07C-B6BD-4EDA-A166-E0E37F6FFC88}" name="Amount applied per ha"/>
    <tableColumn id="7" xr3:uid="{B070EAE9-080A-4F73-B03E-A282F36AEEC1}" name="Application unit (select)" dataCellStyle="Input select"/>
    <tableColumn id="6" xr3:uid="{68371CB0-A049-4A4D-B9B0-2377BA4142C8}" name="Application area (ha)" dataCellStyle="Input number general"/>
    <tableColumn id="3" xr3:uid="{A8C0E294-778D-4D3A-AF6E-D40E1237DDA2}" name="Total applied" dataCellStyle="Input number general calculated">
      <calculatedColumnFormula>Table_Input_Pesticides[[#This Row],[Amount applied per ha]]*Table_Input_Pesticides[[#This Row],[Application area (ha)]]</calculatedColumnFormula>
    </tableColumn>
    <tableColumn id="5" xr3:uid="{5A449334-AFBA-494D-97D4-07F23CB51217}" name="Constituent unit (select)" dataCellStyle="Input select"/>
    <tableColumn id="4" xr3:uid="{C17FA9F1-FA35-4E63-BBD4-7B654553EE0B}" name="Active ingredient 1 (select)" dataCellStyle="Input select"/>
    <tableColumn id="8" xr3:uid="{15AB9FDA-9283-448A-A961-21426B3DAAE6}" name="Active ingredient 1 amount" dataCellStyle="Input number general"/>
    <tableColumn id="16" xr3:uid="{3B60B7B7-B6FB-4F03-9249-84ED239611BC}"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1E4F40A0-4337-4298-973D-2962BC7DDC00}" name="Active ingredient 2 (select)" dataCellStyle="Input select"/>
    <tableColumn id="11" xr3:uid="{21DAF02F-A8CD-4A2D-A4BD-C1F6B6D151FA}" name="Active ingredient 2 amount" dataCellStyle="Input number general"/>
    <tableColumn id="17" xr3:uid="{C915DD4D-DEE2-43C6-BD14-3861BE26B5B2}"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629C3353-661A-4692-AC89-92B6F28088EF}" name="Active ingredient 3 (select)" dataCellStyle="Input select"/>
    <tableColumn id="14" xr3:uid="{1A4AA8AC-0561-4A12-A984-EE8B1A6FF91A}" name="Active ingredient 3 amount" dataCellStyle="Input number general"/>
    <tableColumn id="18" xr3:uid="{328549D5-2A26-4554-9F49-ED1D18EB73C6}"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948E7E7D-4397-4BF7-8E19-2F35A82F8AAA}"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A7D731DA-3864-48A9-8674-CF2814CEAA72}" name="Product name" dataCellStyle="Input text"/>
    <tableColumn id="1" xr3:uid="{4FB3EFBD-E6B9-4B55-A9C0-72986C8712A0}" name="Type (select)" dataDxfId="457" dataCellStyle="Input select"/>
    <tableColumn id="2" xr3:uid="{F32C1FB0-73AB-4C27-9E51-CC6A7B7E912D}" name="Number of head treated" dataDxfId="456"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4EF3B7E-6FB6-49F8-B346-808E3D6F6212}"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0BDEB3D7-E2EA-412A-A107-C043CB9AC119}" name="Product / service name" dataCellStyle="Input text"/>
    <tableColumn id="2" xr3:uid="{DB2C98EE-1B52-4675-863D-ED9B0B60AE23}" name="Amount" dataCellStyle="Input number general"/>
    <tableColumn id="3" xr3:uid="{9D6468BC-6180-4EE8-ABBB-B97AF4D150E9}" name="Amount unit" dataCellStyle="Input tex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C3C7826D-4802-46A8-AC33-9ACCF14C0030}"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6FA5F832-09A7-4EDE-8CCB-8C74CF4EDA5C}" name="Feed blend name"/>
    <tableColumn id="2" xr3:uid="{36F1D088-29A1-4ED6-B20F-D8CF666DF26B}" name="Amount fed (kg)"/>
    <tableColumn id="4" xr3:uid="{4156C38E-8913-481B-8A92-24EF4EB79000}" name="Ingredient 1 (select)" dataCellStyle="Input select"/>
    <tableColumn id="3" xr3:uid="{13339353-113A-4BBA-93B9-A73735B6EDE3}" name="Ingredient 1 source region" dataCellStyle="Input select"/>
    <tableColumn id="5" xr3:uid="{BE392332-4783-4FDC-906E-B776A1341EB8}" name="Ingredient 1 percent"/>
    <tableColumn id="6" xr3:uid="{95F8EE0B-18F7-45AC-A297-B169F4066890}" name="Ingredient 2 (select)" dataCellStyle="Input select"/>
    <tableColumn id="14" xr3:uid="{A15AA534-35C4-4647-BD2F-DD124A7E864E}" name="Ingredient 2 source region" dataCellStyle="Input select"/>
    <tableColumn id="7" xr3:uid="{2BDAD301-C66D-4DAE-A059-34E76262EF7D}" name="Ingredient 2 percent"/>
    <tableColumn id="8" xr3:uid="{175C333B-C8CF-4068-978E-968A4484AB96}" name="Ingredient 3 (select)" dataCellStyle="Input select"/>
    <tableColumn id="15" xr3:uid="{5CC36D04-A469-4ED1-858C-E4364F94A587}" name="Ingredient 3 source region" dataCellStyle="Input select"/>
    <tableColumn id="9" xr3:uid="{AD3D064E-57F0-463C-B088-287A47C7F5F2}" name="Ingredient 3 percent"/>
    <tableColumn id="10" xr3:uid="{D79A27A1-FFCD-4AC5-ABA5-7BCF93E599E3}" name="Ingredient 4 (select)" dataCellStyle="Input select"/>
    <tableColumn id="16" xr3:uid="{15047DAA-1519-4B86-9C8F-4ED6EE8F78B4}" name="Ingredient 4 source region" dataCellStyle="Input select"/>
    <tableColumn id="11" xr3:uid="{5F20D5DB-0B31-452B-832F-274959983EF1}" name="Ingredient 4 percen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16439ECE-4325-4A53-9877-76D9AD9B9D88}"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7E49CBD-5245-4AE0-B19E-1659C5FB55C0}" name="Service provider / contractor" dataCellStyle="Input text"/>
    <tableColumn id="4" xr3:uid="{2328134F-875A-44FF-AA43-5143C4E1D218}" name="Activity" dataCellStyle="Input text"/>
    <tableColumn id="2" xr3:uid="{6A3A8B6D-CF88-4344-BC9E-1D22751A445A}" name="Total amount" dataCellStyle="Input number general"/>
    <tableColumn id="3" xr3:uid="{8A3F8958-6E6F-4927-A229-BF0C2BC7AA1F}" name="Amount unit" dataCellStyle="Input select"/>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441053CF-A22C-45CF-B391-308389952F5A}"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31884F02-8CF3-4901-BB95-4699CC52D3A4}" name="Grow media type" dataCellStyle="Input text"/>
    <tableColumn id="2" xr3:uid="{E8E3FCF8-28A9-48A8-8FE0-FFF4BEC58201}" name="Total amount" dataCellStyle="Input number general"/>
    <tableColumn id="3" xr3:uid="{0DF3ABBC-DDD7-4952-82AE-11A8D6904481}" name="Amount uni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CF50FCB-4FD5-4044-8BFD-AA1BA44527ED}"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0FC093D3-98A2-4F34-ADA5-61CF1BAD8151}" name="Route name"/>
    <tableColumn id="2" xr3:uid="{D304747D-DC57-406D-B5DD-5052F6DC500E}" name="Freight type (select)" dataCellStyle="Input select"/>
    <tableColumn id="3" xr3:uid="{EACB9BC2-B31C-4A26-A2FA-134795410563}" name="Route distance (km)"/>
    <tableColumn id="4" xr3:uid="{139D2E4F-2AB1-4417-8124-4E5EE63EE783}" name="Average weight of freight per trip (t)"/>
    <tableColumn id="5" xr3:uid="{92BA2248-F890-49F2-8B93-A883EB92803B}" name="Number of trips take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7350F8EF-26C3-4C7B-8BC5-B99325FE3725}"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C3AE6136-6914-4604-8F71-01ACE4A9A3CD}" name="Route name"/>
    <tableColumn id="2" xr3:uid="{A1354FFD-4805-4FC6-A65C-A03C2B315F19}" name="Freight type (select)" dataCellStyle="Input select"/>
    <tableColumn id="3" xr3:uid="{921CAEBB-4DC5-41B8-BE80-DBE9DDDC05A0}" name="Route distance (km)"/>
    <tableColumn id="4" xr3:uid="{13DA5AC2-C598-41E5-82B1-A245160DD5F0}" name="Average weight of freight per trip (t)"/>
    <tableColumn id="5" xr3:uid="{B3D4DB80-BB04-4D5B-AD6F-FC127A0CA650}" name="Number of trips take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91DABD7-AA08-4CF1-864E-A9207CE6CC7B}" name="Table_SourceData_PastureBeef_CropProdSystems" displayName="Table_SourceData_PastureBeef_CropProdSystems" ref="D7:D9" totalsRowShown="0">
  <autoFilter ref="D7:D9" xr:uid="{B6F3FE3A-A0B5-47E7-85B2-8426FB75A7C8}">
    <filterColumn colId="0" hiddenButton="1"/>
  </autoFilter>
  <tableColumns count="1">
    <tableColumn id="1" xr3:uid="{9736B25C-E197-446E-A074-6C2AA21D5E41}" name="Production system">
      <calculatedColumnFormula>#REF!</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E5466A-FF97-403E-BAC2-4C280073EA06}"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3D87BC0-6B6D-429D-984B-971C189E4AA5}"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4788873-9DA2-4D38-BA59-B0A5C5AB1BCF}"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9E0B1F5-A1A3-44A4-8DC4-BC5A6DDBBF24}" name="State">
      <calculatedColumnFormula array="1">Common_InputFunctions.Utility_DisplayArrayInTable(SourceData_PastureBeef.SourceData_PastureBeef_Liveweight_Data(), Table_SourceData_PastureBeef_Liveweight[[#Headers],[State]], 0)</calculatedColumnFormula>
    </tableColumn>
    <tableColumn id="2" xr3:uid="{E81F8091-1E04-4F83-8C2D-5B0B8DD3AAA2}" name="Region" dataDxfId="4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BEB4099-D3A4-46EC-B893-C03032E4ACE4}" name="Season" dataDxfId="4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CC22AF6-9AAA-48DD-B058-5556F9CBC9DB}" name="Bull &lt; 1" dataDxfId="4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815CD5E-A847-45D8-B4D0-410C5865E460}" name="Bull &gt; 1"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1EC78F37-11FE-4902-9A8D-5E677676077D}" name="Cow &lt; 1"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6A3EC270-00A3-4744-8406-9EDC8315CC62}" name="Cow 1-2"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4B92E400-55FD-4F71-A13B-CD2AC8CF7064}" name="Cow &gt; 2"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F1A8C6C4-5AD0-438A-8E29-756E499C0DCE}" name="Steer &lt; 1"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DAF94B3D-8926-4FD4-B1F4-260E0B1ED836}" name="Steer &gt; 1"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BA7ADCB-89A6-4CE8-83BE-9962E155996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E017440-2B2A-4946-9EC0-4085D31E670B}" name="State">
      <calculatedColumnFormula array="1">Common_InputFunctions.Utility_DisplayArrayInTable(SourceData_PastureBeef.SourceData_PastureBeef_LiveweightNTQLD_Data(),Table_SourceData_PastureBeef_LiveweightNTQD[[#Headers],[State]], 0)</calculatedColumnFormula>
    </tableColumn>
    <tableColumn id="2" xr3:uid="{B6C78209-CFC4-4174-A4D9-85AF4C1FE8A8}" name="Region" dataDxfId="4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A3CCC0A6-81CF-4905-B312-D6C3003302CA}" name="Season" dataDxfId="4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AD2743D0-0737-4C02-BB97-F7F7078C30FB}" name="Bull &lt;1" dataDxfId="4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3BB71F3E-3CAC-420F-8DD2-B2992E8E2393}" name="Bull &gt;1"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4B129AF-9981-4B69-9F78-D1FA033D8FE7}" name="Cows &lt;1"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D1C1A91C-1DF2-4498-9292-C44A209849B6}" name="Cows 1-2"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5F25CD01-2053-4747-9CB2-80C9651AA2BA}" name="Cows 2-3"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E24925F5-C133-4BA8-9016-E652F503FA47}" name="Cows &gt;3"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8EBAF561-06F2-4660-B7F1-A4F955424323}" name="Steer &lt;1"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5B74002C-33E6-4F30-A9C9-292BF6D338C6}" name="Steer 1-2"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DA02C92B-9750-42A8-8E6B-AD8526A617EC}" name="Steer 2-3"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210367A7-C973-4D82-919B-208D9FC8E0D7}" name="Steer &gt;3"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2F6E0AF-226A-4C2B-8BC2-5716E3E832C5}"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F0A22F8-B229-49C0-B7AC-56ACB634A416}" name="State"/>
    <tableColumn id="2" xr3:uid="{E466BD8A-0B92-4B41-B1A3-8A91FA303081}" name="Region">
      <calculatedColumnFormula>E22</calculatedColumnFormula>
    </tableColumn>
    <tableColumn id="3" xr3:uid="{3A153BB6-8B32-48EE-8F97-259560A6DFBC}" name="Season">
      <calculatedColumnFormula>F22</calculatedColumnFormula>
    </tableColumn>
    <tableColumn id="4" xr3:uid="{4EAFB1A3-4CB9-4DC1-A8BF-024E15FA1CF6}" name="Bulls &lt; 1 year">
      <calculatedColumnFormula>G22</calculatedColumnFormula>
    </tableColumn>
    <tableColumn id="5" xr3:uid="{132DD841-F9C9-4870-A22F-B087A31B772A}" name="Bulls &gt; 1 year">
      <calculatedColumnFormula>H22</calculatedColumnFormula>
    </tableColumn>
    <tableColumn id="6" xr3:uid="{AD63AE75-9FA3-40CD-A0C6-8D35163510C8}" name="Cows &lt; 1 year">
      <calculatedColumnFormula>I22</calculatedColumnFormula>
    </tableColumn>
    <tableColumn id="7" xr3:uid="{25A7EAAF-766D-4AC8-9BAB-A71A7B332237}" name="Cows 1-2 years">
      <calculatedColumnFormula>J22</calculatedColumnFormula>
    </tableColumn>
    <tableColumn id="8" xr3:uid="{2631944E-8141-4EB8-9090-BFBF2441C295}" name="Cows 2-3 years">
      <calculatedColumnFormula>K22</calculatedColumnFormula>
    </tableColumn>
    <tableColumn id="9" xr3:uid="{8F086FD0-88C6-49E6-A802-9F70D319127B}" name="Cows &gt; 3 years">
      <calculatedColumnFormula>L22</calculatedColumnFormula>
    </tableColumn>
    <tableColumn id="10" xr3:uid="{BCE65555-FF34-4CBE-A25C-5D050837ACC8}" name="Steers &lt; 1 year">
      <calculatedColumnFormula>M22</calculatedColumnFormula>
    </tableColumn>
    <tableColumn id="11" xr3:uid="{69A300B3-590B-40E1-96DF-C3EBD86CD3BD}" name="Steers 1-2 years">
      <calculatedColumnFormula>N22</calculatedColumnFormula>
    </tableColumn>
    <tableColumn id="12" xr3:uid="{F581FB0C-50CB-4082-8747-2A653672367B}" name="Steers 2-3 years">
      <calculatedColumnFormula>O22</calculatedColumnFormula>
    </tableColumn>
    <tableColumn id="13" xr3:uid="{265D40C1-8F40-4700-BC03-736EBD370E20}" name="Steers &gt;3 years">
      <calculatedColumnFormula>P22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2DFB91-6536-4088-9C11-B971283FADEC}"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9CB102D-38EB-423C-857C-A55675379520}"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C0672F8-7425-4DAE-BCF5-43C5BDADFC01}"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0E5ECE34-C539-4D0D-BA43-FDBBCB4110BA}"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D88E75B-17EC-4A62-B1B8-E093405936A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ED0C330B-D018-4843-9731-C632FB9A7C37}"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C7D9FAA-8DD8-43BF-A1DA-61841ACB6540}" name="Table_SourceData_PastureBeef_Region_Victoria" displayName="Table_SourceData_PastureBeef_Region_Victoria" ref="S7:S8" totalsRowShown="0">
  <autoFilter ref="S7:S8" xr:uid="{7D474D93-C1E0-4898-A434-69585070D0B9}">
    <filterColumn colId="0" hiddenButton="1"/>
  </autoFilter>
  <tableColumns count="1">
    <tableColumn id="1" xr3:uid="{F8962B67-2067-45AE-8D0F-34A6A5C49B40}"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9B31554-EDD9-4871-AD33-7CDBC52C269B}"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78973C31-6A76-4CFB-BC26-7B477CF8823E}"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5DD223B-293C-4495-9CA6-AAF004BFD826}"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128FF302-D426-4696-8FAC-0AF47DC449B5}"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7FD7754-5743-4164-ADA6-74E6F9372A60}" name="Table_SourceData_PastureBeef_Region_Tasmania" displayName="Table_SourceData_PastureBeef_Region_Tasmania" ref="S22:S23" totalsRowShown="0">
  <autoFilter ref="S22:S23" xr:uid="{4E5A7E40-F6AE-4323-873A-9AB20571A18A}">
    <filterColumn colId="0" hiddenButton="1"/>
  </autoFilter>
  <tableColumns count="1">
    <tableColumn id="1" xr3:uid="{1316300E-B7CC-4CF3-8D19-91A0A07EC25E}"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43B11B6-AF62-4A5E-B553-DC35E49CE682}" name="Table_SourceData_PastureBeef_Region_ACT" displayName="Table_SourceData_PastureBeef_Region_ACT" ref="S27:S28" totalsRowShown="0">
  <autoFilter ref="S27:S28" xr:uid="{3655B7FD-A2CC-4B05-9668-16F7A54ED6C1}">
    <filterColumn colId="0" hiddenButton="1"/>
  </autoFilter>
  <tableColumns count="1">
    <tableColumn id="1" xr3:uid="{D6D35AAD-86D5-4A25-815A-96C434D1066B}"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46ECED3-2D4D-4CD9-9664-2069A58DF6C2}"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E8A71CF-ADBF-451D-8ED7-364D8A4DFE85}" name="State">
      <calculatedColumnFormula array="1">Common_InputFunctions.Utility_DisplayArrayInTable(SourceData_PastureBeef.SourceData_PastureBeef_LiveweightGain_Data(), Table_SourceData_PastureBeef_LiveweightGain[[#Headers],[State]],0)</calculatedColumnFormula>
    </tableColumn>
    <tableColumn id="2" xr3:uid="{0E6C5E2A-48D1-4158-B44B-C47A3D29BFCA}" name="Region" dataDxfId="4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8C52DC9-CAC8-4158-B622-84A62D650A63}" name="Season" dataDxfId="4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BB38D735-2D8F-42F7-B689-9B5163160994}" name="Bull &lt;1" dataDxfId="4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FD2368A-92C7-4A17-8398-B7AC3D06E7A4}" name="Bull &gt;1"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9415854F-B50F-4712-9CDA-936FA7F32E55}" name="Cow &lt;1"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79EB1C44-2897-44EF-877F-9A39901155E6}" name="Cow 1-2"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D8FADC5-3090-4AB1-A3EC-3CCDA31292B9}" name="Cow &gt;2"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8749BE37-FC07-4901-B736-5E494DB67E67}" name="Steer &lt;1"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3D951371-E24C-46AF-BE03-A3C9FFA8D45B}" name="Steer &gt;1"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331716D-8171-4B6F-A583-6D2B6F3245BC}"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CADA71E-9261-42EE-8DA9-C1C9A6A8659A}" name="State">
      <calculatedColumnFormula array="1">Common_InputFunctions.Utility_DisplayArrayInTable(SourceData_PastureBeef.SourceData_PastureBeef_LiveweightGainNTQLD_Data(),Table_SourceData_PastureBeef_LiveweightGainNTQLD[[#Headers],[State]],0)</calculatedColumnFormula>
    </tableColumn>
    <tableColumn id="2" xr3:uid="{8D71ABE1-F98C-412A-B04F-723BFA46D84D}" name="Region" dataDxfId="4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E97FC247-115E-4B11-AC5F-5FEDDDCBE776}" name="Season" dataDxfId="4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0DE08783-675A-43C4-8C74-6E1FC220721F}" name="Bull &lt;1" dataDxfId="4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D2D377EA-9628-410F-83E2-46EEB6A53BB5}" name="Bull &gt;1"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0A4CE6E5-5E21-4AAE-9EC7-5F1C9CD6486C}" name="Cow &lt;1"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F9CA5A3-3559-49AC-B909-1C4A41522635}" name="Cow 1-2"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3F66B46-C482-4304-8277-FD2DDD21244A}" name="Cow 2-3"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7F2174BF-659E-483B-990D-4447E4913F60}" name="Cow &gt;3"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8E8B3457-E0FA-45D2-94AB-E6A15C4EC5E5}" name="Steer &lt;1"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0E0C9482-12F1-4797-BADE-2991F7F43EC6}" name="Steer 1-2"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2F0D9493-80DD-4F2E-BA47-F62C04DE2CA8}" name="Steer 2-3"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AE4B2268-3632-4B37-99F2-530265150694}" name="Steer &gt;3"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DC8333D-69F6-4B01-A935-A903F1EAC37E}"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2132133-CD90-450D-B961-47F9500F18A2}" name="State"/>
    <tableColumn id="2" xr3:uid="{B4F32106-AFEF-402D-A794-0F18F6A65177}" name="Region">
      <calculatedColumnFormula>E159</calculatedColumnFormula>
    </tableColumn>
    <tableColumn id="3" xr3:uid="{9ACC5D53-AFAB-474B-806E-23BFCBC79706}" name="Season">
      <calculatedColumnFormula>F159</calculatedColumnFormula>
    </tableColumn>
    <tableColumn id="4" xr3:uid="{0F1D2320-5FF7-4B23-BA1E-9F4EDE9C613E}" name="Bulls &lt; 1 year">
      <calculatedColumnFormula>G159</calculatedColumnFormula>
    </tableColumn>
    <tableColumn id="5" xr3:uid="{176EB35A-167E-4FDA-8ED6-E5348F5127F2}" name="Bulls &gt; 1 year">
      <calculatedColumnFormula>H159</calculatedColumnFormula>
    </tableColumn>
    <tableColumn id="6" xr3:uid="{893E7B1F-E29D-4550-8073-27FD4C4D2A03}" name="Cows &lt; 1 year">
      <calculatedColumnFormula>I159</calculatedColumnFormula>
    </tableColumn>
    <tableColumn id="7" xr3:uid="{8BC7A4EA-C68F-4FA6-944B-0339BFB833F0}" name="Cows 1-2 years">
      <calculatedColumnFormula>J159</calculatedColumnFormula>
    </tableColumn>
    <tableColumn id="8" xr3:uid="{1BAE090B-07A4-4E19-A2F2-4058CF49518B}" name="Cows 2-3 years">
      <calculatedColumnFormula>K159</calculatedColumnFormula>
    </tableColumn>
    <tableColumn id="9" xr3:uid="{1DB1328E-F501-4E06-B03E-2439AB8F16CC}" name="Cows &gt; 3 years">
      <calculatedColumnFormula>L159</calculatedColumnFormula>
    </tableColumn>
    <tableColumn id="10" xr3:uid="{1C28F04A-C14D-4BDD-81E9-BB3F94A358EF}" name="Steers &lt; 1 year">
      <calculatedColumnFormula>M159</calculatedColumnFormula>
    </tableColumn>
    <tableColumn id="11" xr3:uid="{DF9027F6-272B-4B77-AFBE-729B501FADDD}" name="Steers 1-2 years">
      <calculatedColumnFormula>N159</calculatedColumnFormula>
    </tableColumn>
    <tableColumn id="12" xr3:uid="{52CB5B16-8445-41F7-8914-96520367D9F7}" name="Steers 2-3 years">
      <calculatedColumnFormula>O159</calculatedColumnFormula>
    </tableColumn>
    <tableColumn id="13" xr3:uid="{6B17D759-935B-4E80-B857-11791957DCBA}" name="Steers &gt;3 years">
      <calculatedColumnFormula>P159</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6D1FBD0-4B6D-44EE-960F-B97C1E7E6DE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D3851BF-33E5-42EB-AD08-23545117168C}"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D951E7F1-D040-463E-A8CB-32648435CEF7}" name="Region" dataDxfId="4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D3FCD114-115B-4868-B0F6-4FE81B10DB3E}" name="Spring" dataDxfId="4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EAADC53-6B7E-424D-8E98-49C043F4D46A}" name="Summer" dataDxfId="4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1285AE8-C2F0-4079-8383-F05D706C3718}" name="Autumn"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0214EC32-632E-4089-925F-989AB20920FC}" name="Winter"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629FABB-C410-49DF-BD84-1FCE21A3A3C1}" name="Table_SourceData_PastureBeef_CrudeProtein" displayName="Table_SourceData_PastureBeef_CrudeProtein" ref="D313:I328" totalsRowShown="0" dataDxfId="4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FC575BDF-6524-4752-972F-74B2644064D1}" name="State" dataDxfId="4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E3BBFA6C-A68B-4CC0-BB5E-6E171B7B7F6C}" name="Region" dataDxfId="4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EEC04DA3-6F25-4BA7-B1B0-B428C8F4DA27}" name="Spring" dataDxfId="4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2AB9330-9EE4-433C-853D-8FCBCA31D27A}" name="Summer"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751E6791-4FC8-4541-B979-6D94EB83C8DC}" name="Autumn"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B36B8320-6F47-4732-9A93-012FE5B44986}" name="Winter"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CF781D1-2327-43EF-95F7-BF95AED9BD8A}"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DFC0C708-9254-4A96-A979-98A11BE1EDA0}"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8766F0E6-C018-47A8-8EA7-EC868EAA97A8}" name="Season" dataDxfId="4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B060F2FF-A983-4CDC-9A66-7914EB281BC6}" name="Feed adjustment" dataDxfId="4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92A98C98-70C8-4C9D-B332-07016B7C851C}" name="Milk intake/production" dataDxfId="3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FD02D19-2964-4CEA-AE68-AFE19F88A644}"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94AA52C-E220-4B3A-952B-2FC0E3B1663B}"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8617B14-1A10-4140-926E-B001EDF77830}" name="Bulls &lt;1" dataDxfId="3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467CEAD-EC2C-4F8D-9043-9207C967A330}" name="Bulls &gt;1" dataDxfId="3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C408D8EB-13A2-4385-8A04-D1ED432ADDBE}" name="Cows &lt;1" dataDxfId="3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3316106-6F29-4CC1-9ABA-A6EA33E428F3}" name="Cows 1-2"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08AA8F24-73DA-45EB-A012-D0F2FA2DB0E1}" name="Cows &gt;2"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647613B5-8430-4062-B62E-045331CBA310}" name="Steer &lt;1"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40EF09CE-5691-4150-943F-5D97DDE6AEAA}" name="Steer &gt;1"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7D6BAF9-8D74-4032-8CBE-0CCCF0AE7BF3}" name="State abbreviation"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ACB8017-2A1F-4F5D-83ED-839C54AA73DC}"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3A8C405-C890-446A-9D47-74C88020C257}" name="State" dataDxfId="390" dataCellStyle="Content normal">
      <calculatedColumnFormula>D351</calculatedColumnFormula>
    </tableColumn>
    <tableColumn id="2" xr3:uid="{C6526C42-359C-4FA6-8EA4-64703025A6A4}" name="Bulls &lt; 1 year" dataDxfId="389" dataCellStyle="Content normal">
      <calculatedColumnFormula>E351</calculatedColumnFormula>
    </tableColumn>
    <tableColumn id="3" xr3:uid="{9E7E1095-7CAB-4087-919F-EB17231318AA}" name="Bulls &gt; 1 year" dataDxfId="388" dataCellStyle="Content normal">
      <calculatedColumnFormula>F351</calculatedColumnFormula>
    </tableColumn>
    <tableColumn id="4" xr3:uid="{C33FEA19-4E14-4453-8F80-8AAA8CA966DF}" name="Cows &lt; 1 year" dataDxfId="387" dataCellStyle="Content normal">
      <calculatedColumnFormula>G351</calculatedColumnFormula>
    </tableColumn>
    <tableColumn id="5" xr3:uid="{20BA7F55-96E3-44C3-B480-DAFFF8D14BC3}" name="Cows 1-2 years" dataDxfId="386" dataCellStyle="Content normal">
      <calculatedColumnFormula>H351</calculatedColumnFormula>
    </tableColumn>
    <tableColumn id="6" xr3:uid="{F1E83A34-ADB2-418A-93A2-821171F687A4}" name="Cows 2-3 years" dataDxfId="385" dataCellStyle="Content normal">
      <calculatedColumnFormula>I351</calculatedColumnFormula>
    </tableColumn>
    <tableColumn id="7" xr3:uid="{F30A38AB-EA4F-4E8F-83E7-156A1075D5C0}" name="Cows &gt; 3 years" dataDxfId="384" dataCellStyle="Content normal">
      <calculatedColumnFormula>I351</calculatedColumnFormula>
    </tableColumn>
    <tableColumn id="8" xr3:uid="{FF304DA6-3067-49F6-A5C4-6AABDFD658B6}" name="Steers &lt; 1 year" dataDxfId="383" dataCellStyle="Content normal">
      <calculatedColumnFormula>J351</calculatedColumnFormula>
    </tableColumn>
    <tableColumn id="9" xr3:uid="{03DE50A5-959F-4D65-A1A2-0C6A43FBEC74}" name="Steers 1-2 years" dataDxfId="382" dataCellStyle="Content normal">
      <calculatedColumnFormula>K351</calculatedColumnFormula>
    </tableColumn>
    <tableColumn id="10" xr3:uid="{662CAB47-DEFA-412A-9387-BAEDCF0BBDEE}" name="Steers 2-3 years" dataDxfId="381" dataCellStyle="Content normal">
      <calculatedColumnFormula>K351</calculatedColumnFormula>
    </tableColumn>
    <tableColumn id="11" xr3:uid="{EC95B61C-C9FF-4BCE-8F43-53340666FB1E}" name="Steers &gt;3 years" dataDxfId="380" dataCellStyle="Content normal">
      <calculatedColumnFormula>K351</calculatedColumnFormula>
    </tableColumn>
    <tableColumn id="12" xr3:uid="{1B26B762-C6F7-4BD4-8F0C-A4E08C9C4F44}" name="State abbreviation" dataDxfId="379" dataCellStyle="Content normal">
      <calculatedColumnFormula>L351</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D55913E-E768-4D80-8526-1F1FFF741DF3}"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99B58292-5F78-4FEC-9B6C-648DBA489EE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B4365B-E058-4951-B47B-0586FEDC9231}" name="Region" dataDxfId="3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B132FB3E-36AC-4F31-8D51-60921AC81A9A}" name="Pasture range and paddock" dataDxfId="3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8DE4531B-998C-4174-A15A-D97706EFE2E6}" name="Uncovered Anaerobic lagoon" dataDxfId="3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2966184-80C5-449D-9FCD-F7C833CADC95}" name="Table_SourceData_PastureBeef_MethaneConversionFactor" displayName="Table_SourceData_PastureBeef_MethaneConversionFactor" ref="D400:G415" totalsRowShown="0" dataDxfId="3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D5BA748E-4FE7-4EF8-83DF-8966B28137AB}" name="State" dataDxfId="3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0CA700E-A266-49DB-91CC-50E1A228000F}" name="Region" dataDxfId="3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71267A16-F41A-4A3B-83A7-8204052C89C5}" name="Pasture range and paddock" dataDxfId="3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747DABFF-26D4-4809-8F84-F35CE4321EE8}" name="Uncovered Anaerobic lagoon"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059EC1E-F779-4710-A002-C5C12EC75F16}"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EFDAD27-D0A1-446A-AA3B-B5584623647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95843807-76D7-48D9-B149-8F3557EEBC9A}" name="Season" dataDxfId="3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FBB30ABE-A642-4944-8053-BDE0CFD5014E}" name="Feed adjustment" dataDxfId="3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199E986B-27BA-4AC9-9D93-87F923610C55}" name="Milk intake/production" dataDxfId="3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2135E0D-82FA-494A-8D0E-50FC2C71F63E}" name="Table_LivestockClasses_Beefcattle" displayName="Table_LivestockClasses_Beefcattle" ref="O18:O28" totalsRowShown="0">
  <autoFilter ref="O18:O28" xr:uid="{96840E84-168C-4D51-8D9B-9C727DE4F3B7}">
    <filterColumn colId="0" hiddenButton="1"/>
  </autoFilter>
  <tableColumns count="1">
    <tableColumn id="1" xr3:uid="{CB1F26C0-AE9B-4277-9714-D5B2DC370FFD}" name="Livestock class"/>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E029A7D-5B06-4124-B098-6C45CD026C0D}"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B435B4FE-AA10-47A8-B580-E897E697886F}" name="Region"/>
    <tableColumn id="2" xr3:uid="{567A5F89-FF43-4056-83D3-28B33C3831AC}" name="Scope3 regio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9125FDA-2782-466D-8B67-B70374CA8722}"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2BDA67CB-A869-4914-ACC3-083A4FD4AD48}" name="Category" dataDxfId="367" dataCellStyle="Content normal">
      <calculatedColumnFormula array="1">Common_InputFunctions.Utility_DisplayArrayInTable(Scope3_SourceData.Scope3_Livestock_Data(), Table_SourceData_Scope3_Animals[[#Headers],[Category]], 0, 2)</calculatedColumnFormula>
    </tableColumn>
    <tableColumn id="2" xr3:uid="{EE29023D-6FC1-4D1D-9FD2-5AB623B034A8}" name="Product" dataDxfId="366" dataCellStyle="Content normal">
      <calculatedColumnFormula array="1">Common_InputFunctions.Utility_DisplayArrayInTable(Scope3_SourceData.Scope3_Livestock_Data(), Table_SourceData_Scope3_Animals[[#Headers],[Category]], 0, 2)</calculatedColumnFormula>
    </tableColumn>
    <tableColumn id="3" xr3:uid="{72933EFF-4B63-4FBC-8C7E-CD21C64F259B}" name="Region of origin" dataDxfId="365" dataCellStyle="Content normal">
      <calculatedColumnFormula array="1">Common_InputFunctions.Utility_DisplayArrayInTable(Scope3_SourceData.Scope3_Livestock_Data(), Table_SourceData_Scope3_Animals[[#Headers],[Category]], 0, 2)</calculatedColumnFormula>
    </tableColumn>
    <tableColumn id="8" xr3:uid="{54C99C80-0CEA-45CC-8A6E-BEAE738F265D}" name="Quantity Unit" dataDxfId="364" dataCellStyle="Content normal">
      <calculatedColumnFormula array="1">Common_InputFunctions.Utility_DisplayArrayInTable(Scope3_SourceData.Scope3_Livestock_Data(), Table_SourceData_Scope3_Animals[[#Headers],[Category]], 0, 2)</calculatedColumnFormula>
    </tableColumn>
    <tableColumn id="9" xr3:uid="{19C774E1-824F-48E7-914A-544DFAF066C2}" name="AusLCI Emissions intensity" dataDxfId="363" dataCellStyle="Content normal">
      <calculatedColumnFormula array="1">Common_InputFunctions.Utility_DisplayArrayInTable(Scope3_SourceData.Scope3_Livestock_Data(), Table_SourceData_Scope3_Animals[[#Headers],[Category]], 0, 2)</calculatedColumnFormula>
    </tableColumn>
    <tableColumn id="10" xr3:uid="{5D8FE87F-D82F-4441-941A-AE1AE6501576}" name="System boundary" dataDxfId="3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78C3345-C52D-429D-83E4-5444D82D2E77}"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C4DF84E-97FE-4811-A3BC-C78305A69284}" name="Crop type">
      <calculatedColumnFormula array="1">Common_InputFunctions.Utility_DisplayArrayInTable(Agresidue_SourceData.CropAttributes_Data(),Table_SourceData_CropAttributes[[#Headers],[Crop type]], -1)</calculatedColumnFormula>
    </tableColumn>
    <tableColumn id="2" xr3:uid="{1EE89298-F8B1-48FB-9620-3C6A00B40060}" name="Residue: Crop ratio">
      <calculatedColumnFormula array="1">Common_InputFunctions.Utility_DisplayArrayInTable(Agresidue_SourceData.CropAttributes_Data(),Table_SourceData_CropAttributes[[#Headers],[Crop type]], -1)</calculatedColumnFormula>
    </tableColumn>
    <tableColumn id="3" xr3:uid="{96CFE618-EB63-4689-BF8A-C17B0DDCB727}" name="Below-ground: above-ground residue ratio">
      <calculatedColumnFormula array="1">Common_InputFunctions.Utility_DisplayArrayInTable(Agresidue_SourceData.CropAttributes_Data(),Table_SourceData_CropAttributes[[#Headers],[Crop type]], -1)</calculatedColumnFormula>
    </tableColumn>
    <tableColumn id="4" xr3:uid="{F72CB655-CB9C-4EF0-8F86-1F3066FB1EF9}" name="Dry matter content">
      <calculatedColumnFormula array="1">Common_InputFunctions.Utility_DisplayArrayInTable(Agresidue_SourceData.CropAttributes_Data(),Table_SourceData_CropAttributes[[#Headers],[Crop type]], -1)</calculatedColumnFormula>
    </tableColumn>
    <tableColumn id="5" xr3:uid="{9C7BCE1E-1684-44A0-9F04-4635C90F1E5D}" name="Carbon fraction in dry matter">
      <calculatedColumnFormula array="1">Common_InputFunctions.Utility_DisplayArrayInTable(Agresidue_SourceData.CropAttributes_Data(),Table_SourceData_CropAttributes[[#Headers],[Crop type]], -1)</calculatedColumnFormula>
    </tableColumn>
    <tableColumn id="6" xr3:uid="{147483E9-7461-472C-BFE6-6622D68A7EA3}" name="N content above-ground">
      <calculatedColumnFormula array="1">Common_InputFunctions.Utility_DisplayArrayInTable(Agresidue_SourceData.CropAttributes_Data(),Table_SourceData_CropAttributes[[#Headers],[Crop type]], -1)</calculatedColumnFormula>
    </tableColumn>
    <tableColumn id="7" xr3:uid="{01B83080-94D4-4128-A777-2CBEA9508615}" name="N content below-ground">
      <calculatedColumnFormula array="1">Common_InputFunctions.Utility_DisplayArrayInTable(Agresidue_SourceData.CropAttributes_Data(),Table_SourceData_CropAttributes[[#Headers],[Crop type]], -1)</calculatedColumnFormula>
    </tableColumn>
    <tableColumn id="8" xr3:uid="{A2B071CB-002E-43AC-982A-30DD3E92B72A}"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FE2434D-1F95-4980-9A2D-5D7E2154F77E}"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5739E5F-E50C-4628-95E1-91B4AE57802D}" name="Table76" displayName="Table76" ref="D73:F89" totalsRowShown="0">
  <autoFilter ref="D73:F89" xr:uid="{7CD0B032-9881-4EF1-81E3-483C7C16D9D0}">
    <filterColumn colId="0" hiddenButton="1"/>
    <filterColumn colId="1" hiddenButton="1"/>
    <filterColumn colId="2" hiddenButton="1"/>
  </autoFilter>
  <tableColumns count="3">
    <tableColumn id="1" xr3:uid="{3B0BFA8F-FAA0-404A-87CE-67631D3274D4}" name="Crop type c">
      <calculatedColumnFormula array="1">Common_InputFunctions.Utility_DisplayArrayInTable(Agresidue_SourceData.CropFractionRemoved_Data(), Table76[[#Headers],[Crop type c]], 0)</calculatedColumnFormula>
    </tableColumn>
    <tableColumn id="2" xr3:uid="{E203D72D-55EF-4711-8286-9FC2ECB45034}" name="State" dataDxfId="361">
      <calculatedColumnFormula array="1">Common_InputFunctions.Utility_DisplayArrayInTable(Agresidue_SourceData.CropFractionRemoved_Data(), Table76[[#Headers],[Crop type c]], 0)</calculatedColumnFormula>
    </tableColumn>
    <tableColumn id="3" xr3:uid="{3A45D5B1-A424-4AD1-A1FC-D83C0C5213FD}" name="Fraction removed" dataDxfId="360">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530F9F2-9009-4791-AAE3-B19D6E9843D0}" name="Table77" displayName="Table77" ref="D92:F235" totalsRowShown="0">
  <autoFilter ref="D92:F235" xr:uid="{1FA7CC86-1C1E-41FA-9AA1-AAD48AA2EEF0}">
    <filterColumn colId="0" hiddenButton="1"/>
    <filterColumn colId="1" hiddenButton="1"/>
    <filterColumn colId="2" hiddenButton="1"/>
  </autoFilter>
  <tableColumns count="3">
    <tableColumn id="1" xr3:uid="{19F57F13-DAB2-4F96-B202-292FE28A43B0}" name="Crop type c">
      <calculatedColumnFormula array="1">Common_InputFunctions.Utility_DisplayArrayInTable(Agresidue_SourceData.CropFractionRemoved_CustomisedData(), Table77[[#Headers],[Crop type c]], 0)</calculatedColumnFormula>
    </tableColumn>
    <tableColumn id="2" xr3:uid="{AEADF542-BD1E-42EE-B264-FE3916648F14}" name="State" dataDxfId="359">
      <calculatedColumnFormula array="1">Common_InputFunctions.Utility_DisplayArrayInTable(Agresidue_SourceData.CropFractionRemoved_CustomisedData(), Table77[[#Headers],[Crop type c]], 0)</calculatedColumnFormula>
    </tableColumn>
    <tableColumn id="3" xr3:uid="{96809017-2003-4C16-93CB-E148FA055FEC}" name="Fraction removed" dataDxfId="358">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5728B0E2-541A-465B-92E7-8D5D6FC74ACC}" name="Table_SourceData_N2OEFOrganicFert" displayName="Table_SourceData_N2OEFOrganicFert" ref="D43:E45" totalsRowShown="0" dataDxfId="357" dataCellStyle="Content bold">
  <autoFilter ref="D43:E45" xr:uid="{2270AB6D-D03A-4D71-95C0-00BA6BB02732}">
    <filterColumn colId="0" hiddenButton="1"/>
    <filterColumn colId="1" hiddenButton="1"/>
  </autoFilter>
  <tableColumns count="2">
    <tableColumn id="1" xr3:uid="{78DA1C75-E9C4-4C9F-AAAB-4AFB5D7E728E}" name="Climate zone type i" dataDxfId="356" dataCellStyle="Content bold">
      <calculatedColumnFormula array="1">Common_InputFunctions.Utility_DisplayArrayInTable(Agresidue_SourceData.N2OEFOrganicFertiliser_Data(), Table_SourceData_N2OEFOrganicFert[[#Headers],[Climate zone type i]], 0)</calculatedColumnFormula>
    </tableColumn>
    <tableColumn id="2" xr3:uid="{8203C628-96FD-4D7E-BDC6-0A52BF75CB22}" name="EF i N2O" dataDxfId="355"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82BD9E9-352D-43E2-B9F9-6CECDA43EC12}" name="Table_SourceData_PastureAttributes" displayName="Table_SourceData_PastureAttributes" ref="D51:I56" totalsRowShown="0" dataDxfId="354"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B9D355C-CCF0-468C-82E4-2EC496FBAFD6}" name="Pasture type" dataDxfId="353" dataCellStyle="Content normal">
      <calculatedColumnFormula array="1">Common_InputFunctions.Utility_DisplayArrayInTable(Agresidue_SourceData.PastureAttributes_Data(), Table_SourceData_PastureAttributes[[#Headers],[Pasture type]], 0)</calculatedColumnFormula>
    </tableColumn>
    <tableColumn id="2" xr3:uid="{33569B4B-FA02-419E-8D50-E3B0B2C10301}" name="Average Yield (t DM ha) Yp" dataDxfId="352" dataCellStyle="Content normal">
      <calculatedColumnFormula array="1">Common_InputFunctions.Utility_DisplayArrayInTable(Agresidue_SourceData.PastureAttributes_Data(), Table_SourceData_PastureAttributes[[#Headers],[Pasture type]], 0)</calculatedColumnFormula>
    </tableColumn>
    <tableColumn id="3" xr3:uid="{5E8C0049-6817-4BB1-831C-20FB018C2F06}" name="Below-ground: above-ground residue ratio RBGp" dataDxfId="351" dataCellStyle="Content normal">
      <calculatedColumnFormula array="1">Common_InputFunctions.Utility_DisplayArrayInTable(Agresidue_SourceData.PastureAttributes_Data(), Table_SourceData_PastureAttributes[[#Headers],[Pasture type]], 0)</calculatedColumnFormula>
    </tableColumn>
    <tableColumn id="4" xr3:uid="{51DB66AC-7C50-429A-A9A1-D7B734AE1D4B}" name="N content Above-ground NCAGp" dataDxfId="350" dataCellStyle="Content normal">
      <calculatedColumnFormula array="1">Common_InputFunctions.Utility_DisplayArrayInTable(Agresidue_SourceData.PastureAttributes_Data(), Table_SourceData_PastureAttributes[[#Headers],[Pasture type]], 0)</calculatedColumnFormula>
    </tableColumn>
    <tableColumn id="5" xr3:uid="{3AAFFFBB-E657-4E15-8B47-65310E5034BF}" name="N content Below-ground NCBGp" dataDxfId="349" dataCellStyle="Content normal">
      <calculatedColumnFormula array="1">Common_InputFunctions.Utility_DisplayArrayInTable(Agresidue_SourceData.PastureAttributes_Data(), Table_SourceData_PastureAttributes[[#Headers],[Pasture type]], 0)</calculatedColumnFormula>
    </tableColumn>
    <tableColumn id="6" xr3:uid="{61E4F6D4-F164-4185-881A-413499B8E842}" name="Fraction of pasture yield that is removed FFODp" dataDxfId="348"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6F665E75-F876-45EB-8B5E-EF2C043CF012}"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E146363-233C-4758-A024-28D241F7C538}" name="Gas species">
      <calculatedColumnFormula array="1">Common_InputFunctions.Utility_DisplayArrayInTable(AgResidues_SourceData.BurningOfAgriculturalResiduesEFs_Data(), Table_SourceData_BurningResidueEFs[[#Headers],[Gas species]], 0)</calculatedColumnFormula>
    </tableColumn>
    <tableColumn id="2" xr3:uid="{C3EFC406-7CA7-4CB0-AF22-10F0019ACAD2}" name="Emission factor EFg (Gg element in species/ Gg element in fuel burnt)" dataDxfId="347" dataCellStyle="Content normal">
      <calculatedColumnFormula array="1">Common_InputFunctions.Utility_DisplayArrayInTable(AgResidues_SourceData.BurningOfAgriculturalResiduesEFs_Data(), Table_SourceData_BurningResidueEFs[[#Headers],[Gas species]], 0)</calculatedColumnFormula>
    </tableColumn>
    <tableColumn id="3" xr3:uid="{E2F360B4-7C19-4B2C-A3D5-F1BD53EE0BAD}" name="Elemental to molecular mass conversion factor (Cg)" dataDxfId="346"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C7A27528-A746-4296-8D3E-66053D98AF3F}" name="Table_SourceData_CropPurposeAndYields" displayName="Table_SourceData_CropPurposeAndYields" ref="D7:K10" totalsRowShown="0" headerRowDxfId="345">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4FC7CB-0B44-4BA8-91BA-F856969E8C1E}" name="Purpose">
      <calculatedColumnFormula array="1">Common_InputFunctions.Utility_DisplayArrayInTable(Agresidue_SourceData.CropPurposeAndYield_Data(), Table_SourceData_CropPurposeAndYields[[#Headers],[Purpose]], 0)</calculatedColumnFormula>
    </tableColumn>
    <tableColumn id="2" xr3:uid="{F9789CC0-6247-407B-859C-2AB6CDA58C95}" name="Per hectare unit">
      <calculatedColumnFormula array="1">Common_InputFunctions.Utility_DisplayArrayInTable(Agresidue_SourceData.CropPurposeAndYield_Data(), Table_SourceData_CropPurposeAndYields[[#Headers],[Purpose]], 0)</calculatedColumnFormula>
    </tableColumn>
    <tableColumn id="3" xr3:uid="{70F50188-8130-45BF-A48D-851D4A7EC9D1}" name="harvest term">
      <calculatedColumnFormula array="1">Common_InputFunctions.Utility_DisplayArrayInTable(Agresidue_SourceData.CropPurposeAndYield_Data(), Table_SourceData_CropPurposeAndYields[[#Headers],[Purpose]], 0)</calculatedColumnFormula>
    </tableColumn>
    <tableColumn id="4" xr3:uid="{70C2E898-8B08-45A9-8650-F2AD4A155FE1}" name="harvest endpoint">
      <calculatedColumnFormula array="1">Common_InputFunctions.Utility_DisplayArrayInTable(Agresidue_SourceData.CropPurposeAndYield_Data(), Table_SourceData_CropPurposeAndYields[[#Headers],[Purpose]], 0)</calculatedColumnFormula>
    </tableColumn>
    <tableColumn id="5" xr3:uid="{94016AFD-D88A-49ED-BE24-0C72B70F0E2F}" name="Harvest uit">
      <calculatedColumnFormula array="1">Common_InputFunctions.Utility_DisplayArrayInTable(Agresidue_SourceData.CropPurposeAndYield_Data(), Table_SourceData_CropPurposeAndYields[[#Headers],[Purpose]], 0)</calculatedColumnFormula>
    </tableColumn>
    <tableColumn id="6" xr3:uid="{50E30A41-8BAB-497D-8A0F-DD2F825011A9}" name="Yield note">
      <calculatedColumnFormula array="1">Common_InputFunctions.Utility_DisplayArrayInTable(Agresidue_SourceData.CropPurposeAndYield_Data(), Table_SourceData_CropPurposeAndYields[[#Headers],[Purpose]], 0)</calculatedColumnFormula>
    </tableColumn>
    <tableColumn id="8" xr3:uid="{34C0AB31-7386-45BC-92A0-726271D6AA82}" name="Residue crop ratio note">
      <calculatedColumnFormula array="1">Common_InputFunctions.Utility_DisplayArrayInTable(Agresidue_SourceData.CropPurposeAndYield_Data(), Table_SourceData_CropPurposeAndYields[[#Headers],[Purpose]], 0)</calculatedColumnFormula>
    </tableColumn>
    <tableColumn id="9" xr3:uid="{0098C8C1-780A-4738-8011-B983F744909C}"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2C12ABC7-0BCD-4666-A0A1-A0ADCB82821B}" name="Table_SourceData_Fertiliser_IrrigationMethods91" displayName="Table_SourceData_Fertiliser_IrrigationMethods91" ref="N21:N26" totalsRowShown="0">
  <autoFilter ref="N21:N26" xr:uid="{1AC5909E-E06C-4A79-81E9-C25A0B6D9E90}">
    <filterColumn colId="0" hiddenButton="1"/>
  </autoFilter>
  <tableColumns count="1">
    <tableColumn id="1" xr3:uid="{CCECE217-E6D5-42D3-8AF1-E3DE29D7D604}" name="Irrigation method"/>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B5763191-BAA7-43B8-8CF3-DCD8FC29423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1DB75563-B5B3-4717-AB23-683C5C5BBEE4}" name="Symbol">
      <calculatedColumnFormula array="1">Common_InputFunctions.Utility_DisplayArrayInTable(CommonLivestock_SourceData.SourceData_Livestock_Common_SymbolsMMS_Data(), Table_Data_MMSSymbols[[#Headers],[Symbol]], 0)</calculatedColumnFormula>
    </tableColumn>
    <tableColumn id="2" xr3:uid="{43ABCF68-70DE-43AE-A6B7-92A5C294709D}" name="Manure management system">
      <calculatedColumnFormula array="1">Common_InputFunctions.Utility_DisplayArrayInTable(CommonLivestock_SourceData.SourceData_Livestock_Common_SymbolsMMS_Data(), Table_Data_MMSSymbols[[#Headers],[Symbol]], 0)</calculatedColumnFormula>
    </tableColumn>
    <tableColumn id="3" xr3:uid="{25660A70-9988-4FE4-81A2-9871AEFA391A}"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EBC4D2A-D4F1-464B-8EFF-D48901D01513}" name="Table_SourceData_LivestockProduct_Beefcattle" displayName="Table_SourceData_LivestockProduct_Beefcattle" ref="D31:E39" totalsRowShown="0">
  <autoFilter ref="D31:E39" xr:uid="{A0696731-6602-481C-9AD7-5F0AC3A93169}"/>
  <tableColumns count="2">
    <tableColumn id="1" xr3:uid="{98341B15-91D7-4311-A342-CA31CAE49325}" name="Product">
      <calculatedColumnFormula array="1">Common_InputFunctions.Utility_DisplayArrayInTable(CommonLivestock_SourceData.SourceData_Livestock_Product_BeefCattle_Data(),Table_SourceData_LivestockProduct_Beefcattle[[#Headers],[Product]],0)</calculatedColumnFormula>
    </tableColumn>
    <tableColumn id="2" xr3:uid="{3DC8E96C-96D1-4E97-905E-7F93E8E3DE0D}" name="Source region" dataDxfId="34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C6601577-CFD3-46DB-9049-2F4B7E204437}" name="Table_SourceData_LivestockProduct_Sheep" displayName="Table_SourceData_LivestockProduct_Sheep" ref="D43:E50" totalsRowShown="0" dataDxfId="343" dataCellStyle="Content normal">
  <autoFilter ref="D43:E50" xr:uid="{F711E95C-01C8-48A7-BB52-9F827483965C}"/>
  <tableColumns count="2">
    <tableColumn id="1" xr3:uid="{316716FA-0EC5-483A-B2D4-ED1DA38D325B}" name="Product" dataDxfId="34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A8EC9A0C-F83C-4C2B-8590-F35CC690C6CB}" name="Source region" dataDxfId="34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7006C53-6919-418D-B301-4352151C1E14}" name="Table_SourceData_LivestockProduct_Chickens" displayName="Table_SourceData_LivestockProduct_Chickens" ref="D54:E55" totalsRowShown="0" dataDxfId="340" dataCellStyle="Content normal">
  <autoFilter ref="D54:E55" xr:uid="{2A75A840-CA11-4C7B-8899-C3A821D14E27}"/>
  <tableColumns count="2">
    <tableColumn id="1" xr3:uid="{77723D29-EB0C-4850-BCB8-50A48699EAF4}" name="Product" dataDxfId="3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AC1C3B74-51E0-45F0-A829-52ECBE9E5930}" name="Source region" dataDxfId="3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FFB3EFFD-C9B4-405D-BC9C-409BB15D641E}" name="Table_SourceData_LivestockProduct_Dairycattle" displayName="Table_SourceData_LivestockProduct_Dairycattle" ref="D59:E60" totalsRowShown="0" dataDxfId="337" dataCellStyle="Content normal">
  <autoFilter ref="D59:E60" xr:uid="{2D888E1E-7753-4DC0-B298-BEAC22F6BD88}"/>
  <tableColumns count="2">
    <tableColumn id="1" xr3:uid="{3F7B3892-3F1D-4289-953D-5237CE337DC5}" name="Product" dataDxfId="3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19C7ED2-4065-476B-A235-FBDE4921C151}" name="Source region" dataDxfId="3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E9FDCD80-1421-440F-A5EC-5BB6330F7BA0}" name="Table_SourceData_LivestockProduct_Pigs" displayName="Table_SourceData_LivestockProduct_Pigs" ref="D64:E65" totalsRowShown="0" dataDxfId="334" dataCellStyle="Content normal">
  <autoFilter ref="D64:E65" xr:uid="{4DB6C08B-3AF7-4AD1-AB80-46559AA7950B}"/>
  <tableColumns count="2">
    <tableColumn id="1" xr3:uid="{7E167B04-B994-44B1-BDC1-B9386996F153}" name="Product" dataDxfId="33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B965A-B1DB-4F22-AA33-3BC29F467385}" name="Source region" dataDxfId="33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A018C63-49EE-433B-B757-8D05FA0E1F96}" name="Table_SourceData_ElectricityEFs" displayName="Table_SourceData_ElectricityEFs" ref="D9:F19" totalsRowShown="0" headerRowDxfId="331">
  <autoFilter ref="D9:F19" xr:uid="{3144A982-7A4D-4CF2-8790-1A30DAE3E0A4}">
    <filterColumn colId="0" hiddenButton="1"/>
    <filterColumn colId="1" hiddenButton="1"/>
    <filterColumn colId="2" hiddenButton="1"/>
  </autoFilter>
  <tableColumns count="3">
    <tableColumn id="1" xr3:uid="{BD148175-4F89-48A0-9D89-7FC58B714CF8}"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CB67B9-87D7-4010-A573-6640F904EBEE}"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D57969D-8C91-4046-BD1F-4F2C56D7943A}"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BCCFE31-7FC4-4A9C-8347-24CC50C0B52D}"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3DF061B7-7EE6-45CE-A9FE-FDA12C6488A9}"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3DA2D386-FF8F-41F9-B369-B33CF38C2F14}"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B5793779-31AA-4336-B41D-4558D9841BDD}"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A7544C28-8310-4294-9DC6-A9D300D8408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06EBB46B-0CF3-4F63-8043-5DC16D052168}"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8619D013-4306-4A4B-A1E8-68C9F30D274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BB6588D-89E6-4B50-A234-82F23FEF88AA}"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5357610-F5EE-4982-B9AD-9E3030724E46}" name="FNinorganic f">
      <calculatedColumnFormula array="1">Common_InputFunctions.Utility_DisplayArrayInTable(Fertiliser_SourceData.Fertiliser_ChemicalCompoundElements_Data(),Table_Fertiliser_ChemicalCompounds[[#Headers],[Fertiliser type f]], 0)</calculatedColumnFormula>
    </tableColumn>
    <tableColumn id="3" xr3:uid="{6A849BC6-D66F-4422-A648-F337A7D59808}" name="FU f">
      <calculatedColumnFormula array="1">Common_InputFunctions.Utility_DisplayArrayInTable(Fertiliser_SourceData.Fertiliser_ChemicalCompoundElements_Data(),Table_Fertiliser_ChemicalCompounds[[#Headers],[Fertiliser type f]], 0)</calculatedColumnFormula>
    </tableColumn>
    <tableColumn id="4" xr3:uid="{6AFD8C97-0E77-46DC-AA2D-C792CD7B0C05}" name="Basis">
      <calculatedColumnFormula array="1">Common_InputFunctions.Utility_DisplayArrayInTable(Fertiliser_SourceData.Fertiliser_ChemicalCompoundElements_Data(),Table_Fertiliser_ChemicalCompounds[[#Headers],[Fertiliser type f]], 0)</calculatedColumnFormula>
    </tableColumn>
    <tableColumn id="5" xr3:uid="{5D763334-F941-4F49-86DB-596524B111F2}"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C16CF47-AA97-427A-9D96-6A64D089216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B1FD0B2-08C2-479B-9726-25602360483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9102DC7-162D-487A-93E7-DB293AEC3616}" name="Include or Exclude" dataDxfId="330" totalsRowDxfId="329">
      <calculatedColumnFormula array="1">Common_InputFunctions.Utility_DisplayArrayInTable(Fertiliser_SourceData.Fertiliser_Products_Data1(),FertiliserProducts[[#Headers],[Include or Exclude]], -1)</calculatedColumnFormula>
    </tableColumn>
    <tableColumn id="2" xr3:uid="{9F7F25B7-FCE9-4F15-AEC9-F223F42B2029}" name="Notes" dataDxfId="328" totalsRowDxfId="327">
      <calculatedColumnFormula array="1">Common_InputFunctions.Utility_DisplayArrayInTable(Fertiliser_SourceData.Fertiliser_Products_Data1(),FertiliserProducts[[#Headers],[Include or Exclude]], 0)</calculatedColumnFormula>
    </tableColumn>
    <tableColumn id="3" xr3:uid="{3B0118D1-F05C-472A-BB03-E688EDCCBEED}" name="Company" dataDxfId="326" totalsRowDxfId="325">
      <calculatedColumnFormula array="1">Common_InputFunctions.Utility_DisplayArrayInTable(Fertiliser_SourceData.Fertiliser_Products_Data1(),FertiliserProducts[[#Headers],[Include or Exclude]], 0)</calculatedColumnFormula>
    </tableColumn>
    <tableColumn id="4" xr3:uid="{78874034-58CB-4045-8CA5-911F35625CAE}" name="Product name" dataDxfId="324" totalsRowDxfId="323">
      <calculatedColumnFormula array="1">Common_InputFunctions.Utility_DisplayArrayInTable(Fertiliser_SourceData.Fertiliser_Products_Data1(),FertiliserProducts[[#Headers],[Include or Exclude]], 0)</calculatedColumnFormula>
    </tableColumn>
    <tableColumn id="5" xr3:uid="{7B4C048C-0076-4588-B6EF-A582175B3293}" name="Unit" dataDxfId="322" totalsRowDxfId="321">
      <calculatedColumnFormula array="1">Common_InputFunctions.Utility_DisplayArrayInTable(Fertiliser_SourceData.Fertiliser_Products_Data1(),FertiliserProducts[[#Headers],[Include or Exclude]], 0,4)</calculatedColumnFormula>
    </tableColumn>
    <tableColumn id="6" xr3:uid="{A7E36C26-5B52-4E03-881F-29A9A1F0B608}" name="Density / gravity" dataDxfId="320" totalsRowDxfId="319">
      <calculatedColumnFormula array="1">Common_InputFunctions.Utility_DisplayArrayInTable(Fertiliser_SourceData.Fertiliser_Products_Data1(),FertiliserProducts[[#Headers],[Include or Exclude]], 0,4)</calculatedColumnFormula>
    </tableColumn>
    <tableColumn id="7" xr3:uid="{5956BEF1-0CD1-43B4-83CC-F83B09400DB6}" name="Urea source" dataDxfId="318" totalsRowDxfId="317">
      <calculatedColumnFormula array="1">Common_InputFunctions.Utility_DisplayArrayInTable(Fertiliser_SourceData.Fertiliser_Products_Data1(),FertiliserProducts[[#Headers],[Include or Exclude]], 0,4)</calculatedColumnFormula>
    </tableColumn>
    <tableColumn id="8" xr3:uid="{84E5FAD1-CEDE-460E-B6C6-5BA2D4532DF7}" name="Ammonia source" dataDxfId="316" totalsRowDxfId="315">
      <calculatedColumnFormula array="1">Common_InputFunctions.Utility_DisplayArrayInTable(Fertiliser_SourceData.Fertiliser_Products_Data1(),FertiliserProducts[[#Headers],[Include or Exclude]], 0,4)</calculatedColumnFormula>
    </tableColumn>
    <tableColumn id="9" xr3:uid="{32995701-9F4C-428A-A69C-B3EE43D9DDC4}" name="Ingredient 1" dataDxfId="314" totalsRowDxfId="313">
      <calculatedColumnFormula array="1">Common_InputFunctions.Utility_DisplayArrayInTable(Fertiliser_SourceData.Fertiliser_Products_Data1(),FertiliserProducts[[#Headers],[Include or Exclude]], 0,4)</calculatedColumnFormula>
    </tableColumn>
    <tableColumn id="10" xr3:uid="{D98DF113-7D6E-41EA-8652-C787392F8FA0}" name="Ingredient 1 percent" dataDxfId="312" totalsRowDxfId="311">
      <calculatedColumnFormula array="1">Common_InputFunctions.Utility_DisplayArrayInTable(Fertiliser_SourceData.Fertiliser_Products_Data1(),FertiliserProducts[[#Headers],[Include or Exclude]], 0,4)</calculatedColumnFormula>
    </tableColumn>
    <tableColumn id="11" xr3:uid="{CEC63775-6DDE-428F-B0ED-8AE2E8E64B65}" name="Ingredient 2" dataDxfId="310" totalsRowDxfId="309">
      <calculatedColumnFormula array="1">Common_InputFunctions.Utility_DisplayArrayInTable(Fertiliser_SourceData.Fertiliser_Products_Data1(),FertiliserProducts[[#Headers],[Include or Exclude]], 0,4)</calculatedColumnFormula>
    </tableColumn>
    <tableColumn id="12" xr3:uid="{F3372180-2426-44F9-888D-6FF457F39B4A}" name="Ingredient 2 percent" dataDxfId="308" totalsRowDxfId="307">
      <calculatedColumnFormula array="1">Common_InputFunctions.Utility_DisplayArrayInTable(Fertiliser_SourceData.Fertiliser_Products_Data1(),FertiliserProducts[[#Headers],[Include or Exclude]], 0,4)</calculatedColumnFormula>
    </tableColumn>
    <tableColumn id="13" xr3:uid="{1A0DCD2A-DCF2-4047-A126-48065054E761}" name="Ingredient 3" dataDxfId="306" totalsRowDxfId="305">
      <calculatedColumnFormula array="1">Common_InputFunctions.Utility_DisplayArrayInTable(Fertiliser_SourceData.Fertiliser_Products_Data1(),FertiliserProducts[[#Headers],[Include or Exclude]], 0,4)</calculatedColumnFormula>
    </tableColumn>
    <tableColumn id="14" xr3:uid="{9164947D-772B-4CFF-ADD7-FAF929228096}" name="Ingredient 3 percent" dataDxfId="304" totalsRowDxfId="303">
      <calculatedColumnFormula array="1">Common_InputFunctions.Utility_DisplayArrayInTable(Fertiliser_SourceData.Fertiliser_Products_Data1(),FertiliserProducts[[#Headers],[Include or Exclude]], 0,4)</calculatedColumnFormula>
    </tableColumn>
    <tableColumn id="15" xr3:uid="{17C81AE1-6CF6-446C-91FF-141661CFA80F}" name="Ingredient 4" dataDxfId="302" totalsRowDxfId="301">
      <calculatedColumnFormula array="1">Common_InputFunctions.Utility_DisplayArrayInTable(Fertiliser_SourceData.Fertiliser_Products_Data1(),FertiliserProducts[[#Headers],[Include or Exclude]], 0,4)</calculatedColumnFormula>
    </tableColumn>
    <tableColumn id="16" xr3:uid="{93E3CE12-5345-425B-BBC5-5584EB623968}" name="Ingredient 4 percent" dataDxfId="300" totalsRowDxfId="299">
      <calculatedColumnFormula array="1">Common_InputFunctions.Utility_DisplayArrayInTable(Fertiliser_SourceData.Fertiliser_Products_Data1(),FertiliserProducts[[#Headers],[Include or Exclude]], 0,4)</calculatedColumnFormula>
    </tableColumn>
    <tableColumn id="17" xr3:uid="{B9336C49-821D-4A98-A4F2-FE94A474EC93}" name="Ingredient 5" dataDxfId="298" totalsRowDxfId="297">
      <calculatedColumnFormula array="1">Common_InputFunctions.Utility_DisplayArrayInTable(Fertiliser_SourceData.Fertiliser_Products_Data1(),FertiliserProducts[[#Headers],[Include or Exclude]], 0,4)</calculatedColumnFormula>
    </tableColumn>
    <tableColumn id="18" xr3:uid="{F2ED6B85-3D0E-4C73-8A59-DCF21614D4E4}" name="Ingredient 5 percent" dataDxfId="296" totalsRowDxfId="295">
      <calculatedColumnFormula array="1">Common_InputFunctions.Utility_DisplayArrayInTable(Fertiliser_SourceData.Fertiliser_Products_Data1(),FertiliserProducts[[#Headers],[Include or Exclude]], 0,4)</calculatedColumnFormula>
    </tableColumn>
    <tableColumn id="19" xr3:uid="{1E116C20-920D-4C59-9BC4-F508667617F2}" name="Ingredient 6" dataDxfId="294" totalsRowDxfId="293">
      <calculatedColumnFormula array="1">Common_InputFunctions.Utility_DisplayArrayInTable(Fertiliser_SourceData.Fertiliser_Products_Data1(),FertiliserProducts[[#Headers],[Include or Exclude]], 0,4)</calculatedColumnFormula>
    </tableColumn>
    <tableColumn id="37" xr3:uid="{A4CC46E3-D3BD-4FA2-BBFE-6D51319D1F91}" name="Ingredient 6 percent" dataDxfId="292" totalsRowDxfId="291">
      <calculatedColumnFormula array="1">Common_InputFunctions.Utility_DisplayArrayInTable(Fertiliser_SourceData.Fertiliser_Products_Data1(),FertiliserProducts[[#Headers],[Include or Exclude]], 0,4)</calculatedColumnFormula>
    </tableColumn>
    <tableColumn id="20" xr3:uid="{68EAEDA4-397D-4ECB-A3C4-D85A23D60F16}" name="Ingredient 7" dataDxfId="290">
      <calculatedColumnFormula array="1">Common_InputFunctions.Utility_DisplayArrayInTable(Fertiliser_SourceData.Fertiliser_Products_Data1(),FertiliserProducts[[#Headers],[Include or Exclude]], 0,4)</calculatedColumnFormula>
    </tableColumn>
    <tableColumn id="24" xr3:uid="{E21F48A1-95C5-4244-98D8-EE534B06A41E}" name="Ingredient 7 percent" dataDxfId="289">
      <calculatedColumnFormula array="1">Common_InputFunctions.Utility_DisplayArrayInTable(Fertiliser_SourceData.Fertiliser_Products_Data1(),FertiliserProducts[[#Headers],[Include or Exclude]], 0,4)</calculatedColumnFormula>
    </tableColumn>
    <tableColumn id="23" xr3:uid="{EA218E6A-B0CD-493A-B484-3A1C6B62B0C6}" name="Ingredient 8" dataDxfId="288">
      <calculatedColumnFormula array="1">Common_InputFunctions.Utility_DisplayArrayInTable(Fertiliser_SourceData.Fertiliser_Products_Data1(),FertiliserProducts[[#Headers],[Include or Exclude]], 0,4)</calculatedColumnFormula>
    </tableColumn>
    <tableColumn id="26" xr3:uid="{C5852406-CC42-44B3-8287-BEC241F14147}" name="Ingredient 8 percent" dataDxfId="287">
      <calculatedColumnFormula array="1">Common_InputFunctions.Utility_DisplayArrayInTable(Fertiliser_SourceData.Fertiliser_Products_Data1(),FertiliserProducts[[#Headers],[Include or Exclude]], 0,4)</calculatedColumnFormula>
    </tableColumn>
    <tableColumn id="25" xr3:uid="{BD0BE487-C011-4025-A35B-20BC3F88EF0B}" name="Ingredient 9" dataDxfId="286">
      <calculatedColumnFormula array="1">Common_InputFunctions.Utility_DisplayArrayInTable(Fertiliser_SourceData.Fertiliser_Products_Data1(),FertiliserProducts[[#Headers],[Include or Exclude]], 0,4)</calculatedColumnFormula>
    </tableColumn>
    <tableColumn id="30" xr3:uid="{0C723688-9B5E-425B-BBD1-4A3B457433B4}" name="Ingredient 9 percent" dataDxfId="285">
      <calculatedColumnFormula array="1">Common_InputFunctions.Utility_DisplayArrayInTable(Fertiliser_SourceData.Fertiliser_Products_Data1(),FertiliserProducts[[#Headers],[Include or Exclude]], 0,4)</calculatedColumnFormula>
    </tableColumn>
    <tableColumn id="29" xr3:uid="{A84A2375-61B9-4D2D-829A-22C6F4B9C737}" name="Imngredient 10" dataDxfId="284">
      <calculatedColumnFormula array="1">Common_InputFunctions.Utility_DisplayArrayInTable(Fertiliser_SourceData.Fertiliser_Products_Data1(),FertiliserProducts[[#Headers],[Include or Exclude]], 0,4)</calculatedColumnFormula>
    </tableColumn>
    <tableColumn id="28" xr3:uid="{1B889697-5A98-49BD-B62E-D9E4663C453D}" name="Ingredient 10 percent" dataDxfId="28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A6DEBD1-D2FB-474A-9B5C-55F68E22C45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E9E6A11-0BD7-44C6-BCFE-9AB084DEA849}" name="Fertiliser type f">
      <calculatedColumnFormula array="1">Common_InputFunctions.Utility_DisplayArrayInTable(Fertiliser_SourceData.Fertiliser_FracGASF_Data(), Table_SourceData_Fertiliser_FracGASF[[#Headers],[Fertiliser type f]], 0)</calculatedColumnFormula>
    </tableColumn>
    <tableColumn id="2" xr3:uid="{AB76EE67-8C90-4F92-AC5A-3468178955C0}" name="FracGASF f" dataDxfId="28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57E2B07-8375-4A5B-AF04-B207E1520215}" name="Table_SourceData_Fertiliser_CropProdSystems" displayName="Table_SourceData_Fertiliser_CropProdSystems" ref="D41:D43" totalsRowShown="0">
  <autoFilter ref="D41:D43" xr:uid="{24F3A11E-40F5-4BB9-BFF4-A71FA2ADA0EF}">
    <filterColumn colId="0" hiddenButton="1"/>
  </autoFilter>
  <tableColumns count="1">
    <tableColumn id="1" xr3:uid="{90613347-5091-4608-B60C-F6F84936A2F3}" name="Production system">
      <calculatedColumnFormula>#REF!</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F2F8334-2D4F-429C-A805-BF0C00A4D19D}"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D8670C0-3FFF-494A-9352-8D810E6793AF}" name="Irrigation method"/>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FCFFCD9-6C99-4BD8-B15B-7B76207E4426}" name="Table_SourceData_Fertiliser_CropTypes" displayName="Table_SourceData_Fertiliser_CropTypes" ref="F41:F45" totalsRowShown="0">
  <autoFilter ref="F41:F45" xr:uid="{CB5044B5-FA3C-4AA2-B1AB-72F7E61D072F}">
    <filterColumn colId="0" hiddenButton="1"/>
  </autoFilter>
  <tableColumns count="1">
    <tableColumn id="1" xr3:uid="{6402CA42-5DE8-4689-90F6-BAEB205844C0}" name="Production system"/>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9C0384E-A00E-47A2-A432-BEB60AC63A24}" name="Table_SourceData_OrganicFertiliserTypes" displayName="Table_SourceData_OrganicFertiliserTypes" ref="J41:J46" totalsRowShown="0">
  <autoFilter ref="J41:J46" xr:uid="{B44627B1-537E-4ABC-92C3-57282CEE5B40}">
    <filterColumn colId="0" hiddenButton="1"/>
  </autoFilter>
  <tableColumns count="1">
    <tableColumn id="1" xr3:uid="{034DA6C9-6AA4-4C5B-9AE5-A41B7788193F}" name="Organic fertiliser type"/>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F14B45A-B1F1-4DC8-925C-86290FC1C0A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6F866D4B-D484-429C-AE9F-A18602F9610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88A55448-CBD1-4F1D-B425-A36CCDDA082B}" name="P" dataDxfId="2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CAFA6F32-D9C4-438B-AC51-897820220647}" name="EF" dataDxfId="28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25D87B0-5D33-43E9-9CCD-B5CD10D154BE}" name="Table2" displayName="Table2" ref="K19:L28" totalsRowShown="0" dataDxfId="279" dataCellStyle="Content normal">
  <autoFilter ref="K19:L28" xr:uid="{27B93029-EB1F-4C4A-A946-CD673A8A6C46}">
    <filterColumn colId="0" hiddenButton="1"/>
    <filterColumn colId="1" hiddenButton="1"/>
  </autoFilter>
  <tableColumns count="2">
    <tableColumn id="1" xr3:uid="{5D84ADD1-1BD1-4174-9931-88B24D3D6C34}" name="Fertiliser type f" dataDxfId="278" dataCellStyle="Content normal">
      <calculatedColumnFormula array="1">Common_InputFunctions.Utility_DisplayArrayInTable(Fertiliser_SourceData.Fertiliser_FractionNCommonFertilisers_Data(), Table2[[#Headers],[Fertiliser type f]], 0)</calculatedColumnFormula>
    </tableColumn>
    <tableColumn id="2" xr3:uid="{50AB0001-9C1D-4D0A-94BA-DD19BBC9046C}" name="FNinorganic f" dataDxfId="27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E7E05E9-31EB-46ED-9E40-00F4D08A7E2A}" name="Table28" displayName="Table28" ref="Q19:R28" totalsRowShown="0" dataDxfId="276" dataCellStyle="Content normal">
  <autoFilter ref="Q19:R28" xr:uid="{791CEA59-796C-47AB-86BC-41E8F699030C}">
    <filterColumn colId="0" hiddenButton="1"/>
    <filterColumn colId="1" hiddenButton="1"/>
  </autoFilter>
  <tableColumns count="2">
    <tableColumn id="1" xr3:uid="{D09B0B63-48A7-41CF-AF84-06BD0B06DA7B}" name="Fertiliser type f" dataDxfId="275" dataCellStyle="Content normal">
      <calculatedColumnFormula array="1">Common_InputFunctions.Utility_DisplayArrayInTable(Fertiliser_SourceData.Fertiliser_FractionUreaCommonFertilisers_Data(), Table28[[#Headers],[Fertiliser type f]], 0)</calculatedColumnFormula>
    </tableColumn>
    <tableColumn id="2" xr3:uid="{5D38BDA5-5C7B-45A2-876C-7BD6456F5230}" name="FNinorganic f" dataDxfId="27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9D61F17-010E-4318-A430-C105A7C3022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0F21A4B-99F8-49DC-AB60-D6FB9E238B2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0B61F94-D08B-4E8F-A135-B1A47E86DB4F}" name="Table_Fuel_EFs_StationaryLiquid" displayName="Table_Fuel_EFs_StationaryLiquid" ref="D53:K77" totalsRowShown="0" headerRowDxfId="273" dataDxfId="27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DA6FD65-B14D-4C13-BE50-FA39AE54DAD0}" name="Fuel combusted" dataDxfId="271">
      <calculatedColumnFormula array="1">Common_InputFunctions.Utility_DisplayArrayInTable(Fuel_SourceData.Fuel_Scope1Scope3EmissionFactorsStationaryLiquid_Data(), Table_Fuel_EFs_StationaryLiquid[[#Headers],[Fuel combusted]],0)</calculatedColumnFormula>
    </tableColumn>
    <tableColumn id="2" xr3:uid="{7DA2F8C5-1F91-4F7B-98B8-DFC435D37D12}" name="Energy Content Factor (GJ per unit of fuel)" dataDxfId="270">
      <calculatedColumnFormula array="1">Common_InputFunctions.Utility_DisplayArrayInTable(Fuel_SourceData.Fuel_Scope1Scope3EmissionFactorsStationaryLiquid_Data(), Table_Fuel_EFs_StationaryLiquid[[#Headers],[Fuel combusted]],0)</calculatedColumnFormula>
    </tableColumn>
    <tableColumn id="3" xr3:uid="{847E8401-B785-4C81-B23D-AAB5F413D04B}" name="Fuel unit" dataDxfId="269">
      <calculatedColumnFormula array="1">Common_InputFunctions.Utility_DisplayArrayInTable(Fuel_SourceData.Fuel_Scope1Scope3EmissionFactorsStationaryLiquid_Data(), Table_Fuel_EFs_StationaryLiquid[[#Headers],[Fuel combusted]],0)</calculatedColumnFormula>
    </tableColumn>
    <tableColumn id="4" xr3:uid="{89590DE0-616E-45C7-8FF7-89F6C89D15D2}" name="Scope 1 Emission Factor (kg CO2 - e / GJ) CO2" dataDxfId="268">
      <calculatedColumnFormula array="1">Common_InputFunctions.Utility_DisplayArrayInTable(Fuel_SourceData.Fuel_Scope1Scope3EmissionFactorsStationaryLiquid_Data(), Table_Fuel_EFs_StationaryLiquid[[#Headers],[Fuel combusted]],0)</calculatedColumnFormula>
    </tableColumn>
    <tableColumn id="5" xr3:uid="{50420EDF-F282-4D5F-AD3B-C00D934C8481}" name="Scope 1 Emission Factor (kg CO2 - e / GJ) CH4" dataDxfId="267">
      <calculatedColumnFormula array="1">Common_InputFunctions.Utility_DisplayArrayInTable(Fuel_SourceData.Fuel_Scope1Scope3EmissionFactorsStationaryLiquid_Data(), Table_Fuel_EFs_StationaryLiquid[[#Headers],[Fuel combusted]],0)</calculatedColumnFormula>
    </tableColumn>
    <tableColumn id="6" xr3:uid="{04637E73-C9E7-47F0-9191-EEE7DAAA77EE}" name="Scope 1 Emission Factor (kg CO2 - e / GJ) N2O" dataDxfId="266">
      <calculatedColumnFormula array="1">Common_InputFunctions.Utility_DisplayArrayInTable(Fuel_SourceData.Fuel_Scope1Scope3EmissionFactorsStationaryLiquid_Data(), Table_Fuel_EFs_StationaryLiquid[[#Headers],[Fuel combusted]],0)</calculatedColumnFormula>
    </tableColumn>
    <tableColumn id="7" xr3:uid="{728252CD-743C-4BE1-8C0B-79D7B6E7B8B0}" name="Scope 1 Emission Factor (kg CO2 - e / GJ) Combined gases" dataDxfId="265">
      <calculatedColumnFormula array="1">Common_InputFunctions.Utility_DisplayArrayInTable(Fuel_SourceData.Fuel_Scope1Scope3EmissionFactorsStationaryLiquid_Data(), Table_Fuel_EFs_StationaryLiquid[[#Headers],[Fuel combusted]],0)</calculatedColumnFormula>
    </tableColumn>
    <tableColumn id="8" xr3:uid="{63750A1C-0B94-42A5-8500-E0A82C110224}" name="Scope 3 Emission Factor (kg CO2 - e / GJ)" dataDxfId="26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C1F1427C-E250-42CB-87D7-8C4C25B9ED13}" name="Table_Fuel_EFs_Transport" displayName="Table_Fuel_EFs_Transport" ref="D9:L34" totalsRowShown="0" headerRowDxfId="263" dataDxfId="26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AF98F76-241B-4E34-AC34-13779A819841}" name="Transport type" dataDxfId="261">
      <calculatedColumnFormula array="1">Common_InputFunctions.Utility_DisplayArrayInTable(Fuel_SourceData.Fuel_Scope1Scope3EmissionFactorsTransport_Data(), Table_Fuel_EFs_Transport[[#Headers],[Transport type]], 0)</calculatedColumnFormula>
    </tableColumn>
    <tableColumn id="2" xr3:uid="{73931269-2856-42C8-8BF5-38A644EED472}" name="Fuel combusted" dataDxfId="260">
      <calculatedColumnFormula array="1">Common_InputFunctions.Utility_DisplayArrayInTable(Fuel_SourceData.Fuel_Scope1Scope3EmissionFactorsTransport_Data(), Table_Fuel_EFs_Transport[[#Headers],[Transport type]], 0)</calculatedColumnFormula>
    </tableColumn>
    <tableColumn id="3" xr3:uid="{C8F0DDA7-7D34-4B3B-BAA7-AF56AA714311}" name="Energy Content Factor (GJ per unit of fuel)" dataDxfId="259">
      <calculatedColumnFormula array="1">Common_InputFunctions.Utility_DisplayArrayInTable(Fuel_SourceData.Fuel_Scope1Scope3EmissionFactorsTransport_Data(), Table_Fuel_EFs_Transport[[#Headers],[Transport type]], 0)</calculatedColumnFormula>
    </tableColumn>
    <tableColumn id="4" xr3:uid="{7CC6B1EE-73CD-4F1C-BF7A-DAC271485964}" name="Fuel unit" dataDxfId="258">
      <calculatedColumnFormula array="1">Common_InputFunctions.Utility_DisplayArrayInTable(Fuel_SourceData.Fuel_Scope1Scope3EmissionFactorsTransport_Data(), Table_Fuel_EFs_Transport[[#Headers],[Transport type]], 0)</calculatedColumnFormula>
    </tableColumn>
    <tableColumn id="8" xr3:uid="{DCCD63CE-979E-406E-A6ED-B2E95E4841E7}" name="Scope 1 Emission Factor (kg CO2 - e / GJ) CO2" dataDxfId="257">
      <calculatedColumnFormula array="1">Common_InputFunctions.Utility_DisplayArrayInTable(Fuel_SourceData.Fuel_Scope1Scope3EmissionFactorsTransport_Data(), Table_Fuel_EFs_Transport[[#Headers],[Transport type]], 0)</calculatedColumnFormula>
    </tableColumn>
    <tableColumn id="9" xr3:uid="{6D5E405F-AEE1-47EB-BDE7-3BE9B0C71379}" name="Scope 1 Emission Factor (kg CO2 - e / GJ) CH4" dataDxfId="256">
      <calculatedColumnFormula array="1">Common_InputFunctions.Utility_DisplayArrayInTable(Fuel_SourceData.Fuel_Scope1Scope3EmissionFactorsTransport_Data(), Table_Fuel_EFs_Transport[[#Headers],[Transport type]], 0)</calculatedColumnFormula>
    </tableColumn>
    <tableColumn id="10" xr3:uid="{D5886FD5-F25A-4AA9-A96C-B9FA07C5DE02}" name="Scope 1 Emission Factor (kg CO2 - e / GJ) N2O" dataDxfId="255">
      <calculatedColumnFormula array="1">Common_InputFunctions.Utility_DisplayArrayInTable(Fuel_SourceData.Fuel_Scope1Scope3EmissionFactorsTransport_Data(), Table_Fuel_EFs_Transport[[#Headers],[Transport type]], 0)</calculatedColumnFormula>
    </tableColumn>
    <tableColumn id="11" xr3:uid="{D50687F9-8F2C-4B78-9691-8EB886EFC14B}" name="Scope 1 Emission Factor (kg CO2 - e / GJ) Combined gases" dataDxfId="254">
      <calculatedColumnFormula array="1">Common_InputFunctions.Utility_DisplayArrayInTable(Fuel_SourceData.Fuel_Scope1Scope3EmissionFactorsTransport_Data(), Table_Fuel_EFs_Transport[[#Headers],[Transport type]], 0)</calculatedColumnFormula>
    </tableColumn>
    <tableColumn id="12" xr3:uid="{585D5EC8-15F1-444C-B693-09B112A829F2}" name="Scope 3 Emission Factor (kg CO2 - e / GJ)" dataDxfId="25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1A49866-ECB1-4C76-AD10-822135C6433E}" name="Table_FuelTypesPerUse" displayName="Table_FuelTypesPerUse" ref="D130:I139" totalsRowShown="0" headerRowDxfId="252" dataDxfId="25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203CAC13-F807-4F34-9D09-51CFFF3058C8}" name="Generators" dataDxfId="250"/>
    <tableColumn id="2" xr3:uid="{25B8ABDC-E29D-4FAF-953D-D878F0FAF848}" name="Power standalone machinery or heating" dataDxfId="249"/>
    <tableColumn id="3" xr3:uid="{82DF4506-8641-4A23-A338-E5BE883626FB}" name="Aviation" dataDxfId="248"/>
    <tableColumn id="5" xr3:uid="{D02E2F33-2D84-4C8F-9FC3-0EC742F6474A}" name="Cars and light commercial vehicles" dataDxfId="247"/>
    <tableColumn id="7" xr3:uid="{5741D6CE-E79E-4024-9B35-4BA33A2D2C48}" name="Off-road Agriculture and forestry equipment" dataDxfId="246" dataCellStyle="Content bold"/>
    <tableColumn id="8" xr3:uid="{3535D3DF-EBFE-408F-BE93-870DFAAA5342}" name="Vessels" dataDxfId="245" dataCellStyle="Content bol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0E94C5E-8120-43AB-912B-083484A29133}" name="Table_Fuel_EFs_StationaryGaseous" displayName="Table_Fuel_EFs_StationaryGaseous" ref="D86:J104" totalsRowShown="0" headerRowDxfId="244" dataDxfId="24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2C8DD6-FE39-4350-9ED4-CD9B1AF13572}" name="Fuel combusted" dataDxfId="242">
      <calculatedColumnFormula array="1">Common_InputFunctions.Utility_DisplayArrayInTable(Fuel_SourceData.Fuel_Scope1EmissionFactorsStationaryGaseous_Data(), Table_Fuel_EFs_StationaryGaseous[[#Headers],[Fuel combusted]],0)</calculatedColumnFormula>
    </tableColumn>
    <tableColumn id="2" xr3:uid="{EF7A951A-5661-4E15-BC30-4559D7775566}" name="Energy Content Factor (GJ per unit of fuel)" dataDxfId="241">
      <calculatedColumnFormula array="1">Common_InputFunctions.Utility_DisplayArrayInTable(Fuel_SourceData.Fuel_Scope1EmissionFactorsStationaryGaseous_Data(), Table_Fuel_EFs_StationaryGaseous[[#Headers],[Fuel combusted]],0)</calculatedColumnFormula>
    </tableColumn>
    <tableColumn id="3" xr3:uid="{08E78FB8-FD57-4522-9C8A-ACBFC8B74868}" name="Fuel unit" dataDxfId="240">
      <calculatedColumnFormula array="1">Common_InputFunctions.Utility_DisplayArrayInTable(Fuel_SourceData.Fuel_Scope1EmissionFactorsStationaryGaseous_Data(), Table_Fuel_EFs_StationaryGaseous[[#Headers],[Fuel combusted]],0)</calculatedColumnFormula>
    </tableColumn>
    <tableColumn id="4" xr3:uid="{3A1EE95D-D5A7-4FFE-ADB4-A17A842B3AD2}" name="Scope 1 Emission Factor (kg CO2 - e / GJ) CO2" dataDxfId="239">
      <calculatedColumnFormula array="1">Common_InputFunctions.Utility_DisplayArrayInTable(Fuel_SourceData.Fuel_Scope1EmissionFactorsStationaryGaseous_Data(), Table_Fuel_EFs_StationaryGaseous[[#Headers],[Fuel combusted]],0)</calculatedColumnFormula>
    </tableColumn>
    <tableColumn id="5" xr3:uid="{E753DA47-A02A-4222-A9D8-122E10F22562}" name="Scope 1 Emission Factor (kg CO2 - e / GJ) CH4" dataDxfId="238">
      <calculatedColumnFormula array="1">Common_InputFunctions.Utility_DisplayArrayInTable(Fuel_SourceData.Fuel_Scope1EmissionFactorsStationaryGaseous_Data(), Table_Fuel_EFs_StationaryGaseous[[#Headers],[Fuel combusted]],0)</calculatedColumnFormula>
    </tableColumn>
    <tableColumn id="6" xr3:uid="{C395BDD7-D03E-4BF8-8516-24E222E7A5C9}" name="Scope 1 Emission Factor (kg CO2 - e / GJ) N2O" dataDxfId="237">
      <calculatedColumnFormula array="1">Common_InputFunctions.Utility_DisplayArrayInTable(Fuel_SourceData.Fuel_Scope1EmissionFactorsStationaryGaseous_Data(), Table_Fuel_EFs_StationaryGaseous[[#Headers],[Fuel combusted]],0)</calculatedColumnFormula>
    </tableColumn>
    <tableColumn id="7" xr3:uid="{B15C283E-54FE-42E9-9CAE-0B23FD7B4EE7}" name="Scope 1 Emission Factor (kg CO2 - e / GJ) Combined gases" dataDxfId="23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97E8693-8819-436E-A66C-FAB2B44AF737}" name="Table_Fuel_EFs_StationaryGaseous34" displayName="Table_Fuel_EFs_StationaryGaseous34" ref="D112:F120" headerRowDxfId="235" totalsRowDxfId="234">
  <autoFilter ref="D112:F120" xr:uid="{7D6CE29D-2354-4FAC-9965-9A66FFA42416}">
    <filterColumn colId="0" hiddenButton="1"/>
    <filterColumn colId="1" hiddenButton="1"/>
    <filterColumn colId="2" hiddenButton="1"/>
  </autoFilter>
  <tableColumns count="3">
    <tableColumn id="1" xr3:uid="{2EBD3E48-D8A1-48D1-AE6B-A602BB23EC75}" name="State or territory" totalsRowDxfId="233">
      <calculatedColumnFormula array="1">Common_InputFunctions.Utility_DisplayArrayInTable(Fuel_SourceData.Fuel_Scope3EmissionFactorsStationaryGaseous_Data(), Table_Fuel_EFs_StationaryGaseous34[[#Headers],[State or territory]],0)</calculatedColumnFormula>
    </tableColumn>
    <tableColumn id="2" xr3:uid="{F622F32A-D108-4E00-9E06-24FFEF45877A}" name="Metro" totalsRowDxfId="232">
      <calculatedColumnFormula array="1">Common_InputFunctions.Utility_DisplayArrayInTable(Fuel_SourceData.Fuel_Scope3EmissionFactorsStationaryGaseous_Data(), Table_Fuel_EFs_StationaryGaseous34[[#Headers],[State or territory]],0)</calculatedColumnFormula>
    </tableColumn>
    <tableColumn id="3" xr3:uid="{33BA178A-4345-4710-8E1D-1AB52E77C427}" name="Non-metro" totalsRowDxfId="23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C1A9C43-3599-4F93-AD88-EFC9A977C3F8}"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EE85DB82-7DC3-4AB8-92B5-B16B0CF8F1D5}" name="Fuel type"/>
    <tableColumn id="2" xr3:uid="{AFCD915F-A8A2-4D37-A3D1-7349CCEF9B54}" name="Unit"/>
    <tableColumn id="3" xr3:uid="{B06C1BC1-90E0-4FA5-B159-9769A312E371}" name="Input Unit" dataDxfId="230"/>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67DD7AA-70F5-4E54-A097-581A1DF9F6D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F7B874C-7C76-4542-B017-4F7295467687}"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204FC20-AC29-4AE9-B8E1-0E820098AFF3}" name="Fuel type q" dataDxfId="2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3F7E45E-9656-409C-A9D1-733DDC5521BA}" name="ECTrans,q (GJ/kL)"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08B6AE3-D236-49E9-9B44-150E813CA24A}" name="Scope 1 CO2 EFTran,1,tqg (kg CO2-e/GJ)"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85D851DD-B4D2-4C09-BF4B-2A63ED8C1BDE}" name="Scope 1 CH4 EFTran,1,tgg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CC939D4-B5F2-4912-8D2C-A642DAB7CB6F}" name="Scope 1 N2O EFTran,1,tgg (kg CO2-e/GJ)"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606E6F8E-D72A-4416-A081-79BC415D8FA0}" name="Scope 3 EFTrans,3,q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E9D44656-F9DF-44D2-A818-43771EFF4435}" name="Table_SourceData_Scope3_Animals102" displayName="Table_SourceData_Scope3_Animals102"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09FC7A26-FCFD-4EAA-B545-94E3654A4B9B}" name="Category" dataDxfId="223" dataCellStyle="Content normal">
      <calculatedColumnFormula array="1">Common_InputFunctions.Utility_DisplayArrayInTable(Scope3_SourceData.Scope3_Livestock_Data(), Table_SourceData_Scope3_Animals102[[#Headers],[Category]], 0, 2)</calculatedColumnFormula>
    </tableColumn>
    <tableColumn id="2" xr3:uid="{55A68CB9-D67F-43F9-81F7-6C5963121500}" name="Product" dataDxfId="222" dataCellStyle="Content normal">
      <calculatedColumnFormula array="1">Common_InputFunctions.Utility_DisplayArrayInTable(Scope3_SourceData.Scope3_Livestock_Data(), Table_SourceData_Scope3_Animals102[[#Headers],[Category]], 0, 2)</calculatedColumnFormula>
    </tableColumn>
    <tableColumn id="3" xr3:uid="{53132DD2-9D78-4FFD-85D6-438192FD829F}" name="Region of origin" dataDxfId="221" dataCellStyle="Content normal">
      <calculatedColumnFormula array="1">Common_InputFunctions.Utility_DisplayArrayInTable(Scope3_SourceData.Scope3_Livestock_Data(), Table_SourceData_Scope3_Animals102[[#Headers],[Category]], 0, 2)</calculatedColumnFormula>
    </tableColumn>
    <tableColumn id="8" xr3:uid="{4A8D2F80-690F-48B0-BA40-E2C34F9924C9}" name="Quantity Unit" dataDxfId="220" dataCellStyle="Content normal">
      <calculatedColumnFormula array="1">Common_InputFunctions.Utility_DisplayArrayInTable(Scope3_SourceData.Scope3_Livestock_Data(), Table_SourceData_Scope3_Animals102[[#Headers],[Category]], 0, 2)</calculatedColumnFormula>
    </tableColumn>
    <tableColumn id="9" xr3:uid="{C14E822E-51F5-4529-9203-F2DC344AAC90}" name="AusLCI Emissions intensity" dataDxfId="219" dataCellStyle="Content normal">
      <calculatedColumnFormula array="1">Common_InputFunctions.Utility_DisplayArrayInTable(Scope3_SourceData.Scope3_Livestock_Data(), Table_SourceData_Scope3_Animals102[[#Headers],[Category]], 0, 2)</calculatedColumnFormula>
    </tableColumn>
    <tableColumn id="10" xr3:uid="{10C31D53-A90A-4521-920B-BD54D68108AE}" name="System boundary" dataDxfId="218" dataCellStyle="Content normal">
      <calculatedColumnFormula array="1">Common_InputFunctions.Utility_DisplayArrayInTable(Scope3_SourceData.Scope3_Livestock_Data(), Table_SourceData_Scope3_Animals102[[#Headers],[Category]],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80F3E4F-AD17-4BDE-BFCA-72FAE0A526D9}"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476CAA48-4DEE-4E5C-B0C5-BB5E3FEA3F06}" name="Category" dataDxfId="217" dataCellStyle="Content normal">
      <calculatedColumnFormula array="1">Common_InputFunctions.Utility_DisplayArrayInTable(Scope3_SourceData.Scope3_Chemicals_Data(), Table_SourceData_Scope3_ChemicalsCleaning[[#Headers],[Category]], 0, 2)</calculatedColumnFormula>
    </tableColumn>
    <tableColumn id="2" xr3:uid="{D1D6CAF7-25C0-479E-930E-47F9399A4695}" name="Product" dataDxfId="216" dataCellStyle="Content normal">
      <calculatedColumnFormula array="1">Common_InputFunctions.Utility_DisplayArrayInTable(Scope3_SourceData.Scope3_Chemicals_Data(), Table_SourceData_Scope3_ChemicalsCleaning[[#Headers],[Category]], 0, 2)</calculatedColumnFormula>
    </tableColumn>
    <tableColumn id="3" xr3:uid="{7AFEF0D7-5BC5-4DD2-8E7A-0A3B70BE2747}" name="Region of origin" dataDxfId="215" dataCellStyle="Content normal">
      <calculatedColumnFormula array="1">Common_InputFunctions.Utility_DisplayArrayInTable(Scope3_SourceData.Scope3_Chemicals_Data(), Table_SourceData_Scope3_ChemicalsCleaning[[#Headers],[Category]], 0, 2)</calculatedColumnFormula>
    </tableColumn>
    <tableColumn id="8" xr3:uid="{9142B481-E07B-418D-ADC8-79EA8D378D9C}" name="Quantity Unit" dataDxfId="214" dataCellStyle="Content normal">
      <calculatedColumnFormula array="1">Common_InputFunctions.Utility_DisplayArrayInTable(Scope3_SourceData.Scope3_Chemicals_Data(), Table_SourceData_Scope3_ChemicalsCleaning[[#Headers],[Category]], 0, 2)</calculatedColumnFormula>
    </tableColumn>
    <tableColumn id="9" xr3:uid="{E7F6B65B-8C67-4665-BF3A-91F3B7180F73}" name="AusLCI Emissions intensity" dataDxfId="213" dataCellStyle="Content normal">
      <calculatedColumnFormula array="1">Common_InputFunctions.Utility_DisplayArrayInTable(Scope3_SourceData.Scope3_Chemicals_Data(), Table_SourceData_Scope3_ChemicalsCleaning[[#Headers],[Category]], 0, 2)</calculatedColumnFormula>
    </tableColumn>
    <tableColumn id="10" xr3:uid="{391C6A75-E05E-4DF0-8B38-19CE3D4259B9}" name="System boundary" dataDxfId="212"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399C61-99D8-41BB-979D-5C92A9AAEF88}" name="Table_SourceData_Scope3_Feed" displayName="Table_SourceData_Scope3_Feed" ref="D89:I159" totalsRowShown="0" dataDxfId="211"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9338A7AE-B5A7-440A-AE1D-86B5851E9E4F}" name="Category" dataDxfId="210" dataCellStyle="Content normal">
      <calculatedColumnFormula array="1">Common_InputFunctions.Utility_DisplayArrayInTable(Scope3_SourceData.Scope3_Feed_Data(), Table_SourceData_Scope3_Feed[[#Headers],[Category]], 0, 2)</calculatedColumnFormula>
    </tableColumn>
    <tableColumn id="2" xr3:uid="{742BBDF9-38D2-4E19-8FEF-6DB8CA5515AE}" name="Product" dataDxfId="209" dataCellStyle="Content normal">
      <calculatedColumnFormula array="1">Common_InputFunctions.Utility_DisplayArrayInTable(Scope3_SourceData.Scope3_Feed_Data(), Table_SourceData_Scope3_Feed[[#Headers],[Category]], 0, 2)</calculatedColumnFormula>
    </tableColumn>
    <tableColumn id="3" xr3:uid="{26B3A75B-EBDE-4C7A-AF41-E55BED9E507B}" name="Region of origin" dataDxfId="208" dataCellStyle="Content normal">
      <calculatedColumnFormula array="1">Common_InputFunctions.Utility_DisplayArrayInTable(Scope3_SourceData.Scope3_Feed_Data(), Table_SourceData_Scope3_Feed[[#Headers],[Category]], 0, 2)</calculatedColumnFormula>
    </tableColumn>
    <tableColumn id="8" xr3:uid="{E6484744-E11C-485E-9E00-6BC20D26298A}" name="Quantity Unit" dataDxfId="207" dataCellStyle="Content normal">
      <calculatedColumnFormula array="1">Common_InputFunctions.Utility_DisplayArrayInTable(Scope3_SourceData.Scope3_Feed_Data(), Table_SourceData_Scope3_Feed[[#Headers],[Category]], 0, 2)</calculatedColumnFormula>
    </tableColumn>
    <tableColumn id="9" xr3:uid="{55C61312-461C-4983-816C-819259CB65B2}" name="AusLCI Emissions intensity" dataDxfId="206" dataCellStyle="Content normal">
      <calculatedColumnFormula array="1">Common_InputFunctions.Utility_DisplayArrayInTable(Scope3_SourceData.Scope3_Feed_Data(), Table_SourceData_Scope3_Feed[[#Headers],[Category]], 0, 2)</calculatedColumnFormula>
    </tableColumn>
    <tableColumn id="10" xr3:uid="{20C93FDE-93BD-49EC-ADCD-F583DC41A4A0}" name="System boundary" dataDxfId="205"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71AF1E33-7560-4FBC-90C2-439100DC1FF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1AF1FD1-A057-42AD-BE8C-3FF5E8DF9267}" name="Category">
      <calculatedColumnFormula array="1">Common_InputFunctions.Utility_DisplayArrayInTable(Scope3_SourceData.Scope3_InorganicFertilisers_Data(), Table_SourceData_Scope3_InorganicFertiliser[[#Headers],[Category]], 0, 2)</calculatedColumnFormula>
    </tableColumn>
    <tableColumn id="2" xr3:uid="{4AA954FD-D027-478E-AFEF-59B238CD32B4}" name="Product">
      <calculatedColumnFormula array="1">Common_InputFunctions.Utility_DisplayArrayInTable(Scope3_SourceData.Scope3_InorganicFertilisers_Data(), Table_SourceData_Scope3_InorganicFertiliser[[#Headers],[Category]], 0, 2)</calculatedColumnFormula>
    </tableColumn>
    <tableColumn id="3" xr3:uid="{55A33E56-ED9B-42CC-B347-3FD6E564CF36}" name="Region of origin">
      <calculatedColumnFormula array="1">Common_InputFunctions.Utility_DisplayArrayInTable(Scope3_SourceData.Scope3_InorganicFertilisers_Data(), Table_SourceData_Scope3_InorganicFertiliser[[#Headers],[Category]], 0, 2)</calculatedColumnFormula>
    </tableColumn>
    <tableColumn id="4" xr3:uid="{0FF36A2E-2030-4869-8EB8-0A31E7A2E62D}" name="Chemical compound"/>
    <tableColumn id="5" xr3:uid="{B1711D0A-319D-456B-8ADC-D2BF8CF40FA2}" name="Urea source"/>
    <tableColumn id="6" xr3:uid="{863E55DE-869E-4004-A9D1-82E65F106646}" name="Ammonia source"/>
    <tableColumn id="7" xr3:uid="{61DFA5D7-B45F-47F6-8D8A-3DB3CB234269}" name="Quantity"/>
    <tableColumn id="8" xr3:uid="{41727F90-F74E-4D1E-9F97-341F289E3BD4}" name="Quantity Unit">
      <calculatedColumnFormula array="1">Common_InputFunctions.Utility_DisplayArrayInTable(Scope3_SourceData.Scope3_InorganicFertilisers_Data(), Table_SourceData_Scope3_InorganicFertiliser[[#Headers],[Category]], 0, -2)</calculatedColumnFormula>
    </tableColumn>
    <tableColumn id="9" xr3:uid="{B48777D3-1729-4591-BA98-606D6A87182F}"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322FD64B-1C8F-4000-B9C4-D63A825E6092}" name="System boundary" dataDxfId="204"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53C58CC-D2EC-4C03-8C4F-2B546BF5520E}" name="Table_SourceData_Scope3_Other" displayName="Table_SourceData_Scope3_Other" ref="D201:I209" totalsRowShown="0" dataDxfId="203"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514956E3-47CD-4192-9A8C-D21D17C246BA}" name="Category" dataDxfId="202" dataCellStyle="Content normal">
      <calculatedColumnFormula array="1">Common_InputFunctions.Utility_DisplayArrayInTable(Scope3_SourceData.Scope3_Other_Data(), Table_SourceData_Scope3_Other[[#Headers],[Category]], 0, 2)</calculatedColumnFormula>
    </tableColumn>
    <tableColumn id="2" xr3:uid="{48F76ED6-A4C0-4F60-8A72-377242230747}" name="Product" dataDxfId="201" dataCellStyle="Content normal">
      <calculatedColumnFormula array="1">Common_InputFunctions.Utility_DisplayArrayInTable(Scope3_SourceData.Scope3_Other_Data(), Table_SourceData_Scope3_Other[[#Headers],[Category]], 0, 2)</calculatedColumnFormula>
    </tableColumn>
    <tableColumn id="3" xr3:uid="{2D674FA9-A58A-4E6C-9D20-9192C5DFB861}" name="Region of origin" dataDxfId="200" dataCellStyle="Content normal">
      <calculatedColumnFormula array="1">Common_InputFunctions.Utility_DisplayArrayInTable(Scope3_SourceData.Scope3_Other_Data(), Table_SourceData_Scope3_Other[[#Headers],[Category]], 0, 2)</calculatedColumnFormula>
    </tableColumn>
    <tableColumn id="8" xr3:uid="{596D2BF0-B311-492B-A586-9AE7235092F1}" name="Quantity Unit" dataDxfId="199" dataCellStyle="Content normal">
      <calculatedColumnFormula array="1">Common_InputFunctions.Utility_DisplayArrayInTable(Scope3_SourceData.Scope3_Other_Data(), Table_SourceData_Scope3_Other[[#Headers],[Category]], 0, 2)</calculatedColumnFormula>
    </tableColumn>
    <tableColumn id="9" xr3:uid="{4BE32C5F-D213-4B44-9ACA-F720519D4F66}" name="AusLCI Emissions intensity" dataDxfId="198" dataCellStyle="Content normal">
      <calculatedColumnFormula array="1">Common_InputFunctions.Utility_DisplayArrayInTable(Scope3_SourceData.Scope3_Other_Data(), Table_SourceData_Scope3_Other[[#Headers],[Category]], 0, 2)</calculatedColumnFormula>
    </tableColumn>
    <tableColumn id="10" xr3:uid="{3BCD52A9-D022-4D41-8129-EF3E09905F37}" name="System boundary" dataDxfId="197"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1A6CE93E-F94D-47F4-9F44-348F3293C437}" name="Table_SourceData_Scope3_Packaging" displayName="Table_SourceData_Scope3_Packaging" ref="D212:I216" totalsRowShown="0" dataDxfId="196"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61B4D02F-7FDB-41A4-A9D5-C52ED3DE5A56}" name="Category" dataDxfId="195" dataCellStyle="Content normal">
      <calculatedColumnFormula array="1">Common_InputFunctions.Utility_DisplayArrayInTable(Scope3_SourceData.Scope3_Packaging_Data(), Table_SourceData_Scope3_Packaging[[#Headers],[Category]], 0, 2)</calculatedColumnFormula>
    </tableColumn>
    <tableColumn id="2" xr3:uid="{C5BC9941-716E-415F-9E2C-D1A53BB91CA7}" name="Product" dataDxfId="194" dataCellStyle="Content normal">
      <calculatedColumnFormula array="1">Common_InputFunctions.Utility_DisplayArrayInTable(Scope3_SourceData.Scope3_Packaging_Data(), Table_SourceData_Scope3_Packaging[[#Headers],[Category]], 0, 2)</calculatedColumnFormula>
    </tableColumn>
    <tableColumn id="3" xr3:uid="{C2921DC9-C427-4C73-9DBB-9D2A168F5C14}" name="Region of origin" dataDxfId="193" dataCellStyle="Content normal">
      <calculatedColumnFormula array="1">Common_InputFunctions.Utility_DisplayArrayInTable(Scope3_SourceData.Scope3_Packaging_Data(), Table_SourceData_Scope3_Packaging[[#Headers],[Category]], 0, 2)</calculatedColumnFormula>
    </tableColumn>
    <tableColumn id="8" xr3:uid="{10DB19C7-A941-4D60-BC48-7AA2056A9033}" name="Quantity Unit" dataDxfId="192" dataCellStyle="Content normal">
      <calculatedColumnFormula array="1">Common_InputFunctions.Utility_DisplayArrayInTable(Scope3_SourceData.Scope3_Packaging_Data(), Table_SourceData_Scope3_Packaging[[#Headers],[Category]], 0, 2)</calculatedColumnFormula>
    </tableColumn>
    <tableColumn id="9" xr3:uid="{D7DDC55A-33EB-441A-8A84-1CD818B33333}" name="AusLCI Emissions intensity" dataDxfId="191" dataCellStyle="Content normal">
      <calculatedColumnFormula array="1">Common_InputFunctions.Utility_DisplayArrayInTable(Scope3_SourceData.Scope3_Packaging_Data(), Table_SourceData_Scope3_Packaging[[#Headers],[Category]], 0, 2)</calculatedColumnFormula>
    </tableColumn>
    <tableColumn id="10" xr3:uid="{A5C69203-9A19-400C-808D-9FA92A9222F0}" name="System boundary" dataDxfId="190"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889B86B-4B07-4EF8-8BB8-4E96C6A9A67E}" name="Table_SourceData_Scope3_Pesticides" displayName="Table_SourceData_Scope3_Pesticides" ref="D219:I231" totalsRowShown="0" dataDxfId="189"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D5DC1098-E8F1-4F11-8590-1344071BF5BD}" name="Category" dataDxfId="188" dataCellStyle="Content normal">
      <calculatedColumnFormula array="1">Common_InputFunctions.Utility_DisplayArrayInTable(Scope3_SourceData.Scope3_Pesticides_Data(), Table_SourceData_Scope3_Pesticides[[#Headers],[Category]], 0, 2)</calculatedColumnFormula>
    </tableColumn>
    <tableColumn id="2" xr3:uid="{1E6B720C-E37E-4859-8050-B2EB1CF22415}" name="Product" dataDxfId="187" dataCellStyle="Content normal">
      <calculatedColumnFormula array="1">Common_InputFunctions.Utility_DisplayArrayInTable(Scope3_SourceData.Scope3_Pesticides_Data(), Table_SourceData_Scope3_Pesticides[[#Headers],[Category]], 0, 2)</calculatedColumnFormula>
    </tableColumn>
    <tableColumn id="3" xr3:uid="{9B93133E-3E70-4987-8019-55D4CC8286DE}" name="Region of origin" dataDxfId="186" dataCellStyle="Content normal">
      <calculatedColumnFormula array="1">Common_InputFunctions.Utility_DisplayArrayInTable(Scope3_SourceData.Scope3_Pesticides_Data(), Table_SourceData_Scope3_Pesticides[[#Headers],[Category]], 0, 2)</calculatedColumnFormula>
    </tableColumn>
    <tableColumn id="8" xr3:uid="{A6A3E9A1-B019-458A-8BAF-114F84077F0A}" name="Quantity Unit" dataDxfId="185" dataCellStyle="Content normal">
      <calculatedColumnFormula array="1">Common_InputFunctions.Utility_DisplayArrayInTable(Scope3_SourceData.Scope3_Pesticides_Data(), Table_SourceData_Scope3_Pesticides[[#Headers],[Category]], 0, 2)</calculatedColumnFormula>
    </tableColumn>
    <tableColumn id="9" xr3:uid="{9F5E3636-60D8-46C9-A9A8-B5DFB35E38D5}" name="AusLCI Emissions intensity" dataDxfId="184" dataCellStyle="Content normal">
      <calculatedColumnFormula array="1">Common_InputFunctions.Utility_DisplayArrayInTable(Scope3_SourceData.Scope3_Pesticides_Data(), Table_SourceData_Scope3_Pesticides[[#Headers],[Category]], 0, 2)</calculatedColumnFormula>
    </tableColumn>
    <tableColumn id="10" xr3:uid="{72C1651A-322D-463A-A561-E75EF560FF49}" name="System boundary" dataDxfId="183"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CED49A37-E742-4324-9856-C77C00263F3F}" name="Table_SourceData_Scope3_SoilAmeliorants" displayName="Table_SourceData_Scope3_SoilAmeliorants" ref="D234:I237" totalsRowShown="0" dataDxfId="182"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5B51134F-C5E6-42D3-A5DB-8FBD536DC8C8}" name="Category" dataDxfId="181" dataCellStyle="Content normal">
      <calculatedColumnFormula array="1">Common_InputFunctions.Utility_DisplayArrayInTable(Scope3_SourceData.Scope3_SoilAmendments_Data(), Table_SourceData_Scope3_SoilAmeliorants[[#Headers],[Category]], 0, 2)</calculatedColumnFormula>
    </tableColumn>
    <tableColumn id="2" xr3:uid="{D916F5D0-51AC-4AA6-A3FB-9244DFBE950F}" name="Product" dataDxfId="180" dataCellStyle="Content normal">
      <calculatedColumnFormula array="1">Common_InputFunctions.Utility_DisplayArrayInTable(Scope3_SourceData.Scope3_SoilAmendments_Data(), Table_SourceData_Scope3_SoilAmeliorants[[#Headers],[Category]], 0, 2)</calculatedColumnFormula>
    </tableColumn>
    <tableColumn id="3" xr3:uid="{25D67805-C59C-43E7-B1DC-147B493F5A64}" name="Region of origin" dataDxfId="179" dataCellStyle="Content normal">
      <calculatedColumnFormula array="1">Common_InputFunctions.Utility_DisplayArrayInTable(Scope3_SourceData.Scope3_SoilAmendments_Data(), Table_SourceData_Scope3_SoilAmeliorants[[#Headers],[Category]], 0, 2)</calculatedColumnFormula>
    </tableColumn>
    <tableColumn id="8" xr3:uid="{F9E4A63A-1C96-48FF-9A78-D23BAAA3193F}" name="Quantity Unit" dataDxfId="178" dataCellStyle="Content normal">
      <calculatedColumnFormula array="1">Common_InputFunctions.Utility_DisplayArrayInTable(Scope3_SourceData.Scope3_SoilAmendments_Data(), Table_SourceData_Scope3_SoilAmeliorants[[#Headers],[Category]], 0, 2)</calculatedColumnFormula>
    </tableColumn>
    <tableColumn id="9" xr3:uid="{77AE82DC-8522-4A31-A6E3-BEC694DD065B}" name="AusLCI Emissions intensity" dataDxfId="177" dataCellStyle="Content normal">
      <calculatedColumnFormula array="1">Common_InputFunctions.Utility_DisplayArrayInTable(Scope3_SourceData.Scope3_SoilAmendments_Data(), Table_SourceData_Scope3_SoilAmeliorants[[#Headers],[Category]], 0, 2)</calculatedColumnFormula>
    </tableColumn>
    <tableColumn id="10" xr3:uid="{576F7266-BB79-4564-B392-3F9B06AB0D40}" name="System boundary" dataDxfId="176"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533AD433-C14A-4C54-9B25-B459F9FCF97F}" name="Table_SourceData_Scope3_ChemicalsPharmacy" displayName="Table_SourceData_Scope3_ChemicalsPharmacy" ref="D82:I86" totalsRowShown="0" dataDxfId="175"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9CACCA9-EA39-47BC-8671-E43532F38A2A}" name="Category" dataDxfId="174" dataCellStyle="Content normal">
      <calculatedColumnFormula array="1">Common_InputFunctions.Utility_DisplayArrayInTable(Scope3_SourceData.Scope3_Chemicals_Data(), Table_SourceData_Scope3_ChemicalsPharmacy[[#Headers],[Category]], -3, 2)</calculatedColumnFormula>
    </tableColumn>
    <tableColumn id="2" xr3:uid="{81EA5E7C-5607-4F60-843B-247AE5A389B4}" name="Product" dataDxfId="173" dataCellStyle="Content normal">
      <calculatedColumnFormula array="1">Common_InputFunctions.Utility_DisplayArrayInTable(Scope3_SourceData.Scope3_Chemicals_Data(), Table_SourceData_Scope3_ChemicalsPharmacy[[#Headers],[Category]], -3, 2)</calculatedColumnFormula>
    </tableColumn>
    <tableColumn id="3" xr3:uid="{C0E6A13E-BED6-4ABC-8C73-0DC91C7277AC}" name="Region of origin" dataDxfId="172" dataCellStyle="Content normal">
      <calculatedColumnFormula array="1">Common_InputFunctions.Utility_DisplayArrayInTable(Scope3_SourceData.Scope3_Chemicals_Data(), Table_SourceData_Scope3_ChemicalsPharmacy[[#Headers],[Category]], -3, 2)</calculatedColumnFormula>
    </tableColumn>
    <tableColumn id="8" xr3:uid="{33AE4E33-B177-4804-9C44-B33E61C89E26}" name="Quantity Unit" dataDxfId="171" dataCellStyle="Content normal">
      <calculatedColumnFormula array="1">Common_InputFunctions.Utility_DisplayArrayInTable(Scope3_SourceData.Scope3_Chemicals_Data(), Table_SourceData_Scope3_ChemicalsPharmacy[[#Headers],[Category]], -3, 2)</calculatedColumnFormula>
    </tableColumn>
    <tableColumn id="9" xr3:uid="{EB0741EB-1D5A-4363-B5EA-5D5F1164C6E7}" name="AusLCI Emissions intensity" dataDxfId="170" dataCellStyle="Content normal">
      <calculatedColumnFormula array="1">Common_InputFunctions.Utility_DisplayArrayInTable(Scope3_SourceData.Scope3_Chemicals_Data(), Table_SourceData_Scope3_ChemicalsPharmacy[[#Headers],[Category]], -3, 2)</calculatedColumnFormula>
    </tableColumn>
    <tableColumn id="10" xr3:uid="{FA14C05A-2A13-4B70-8773-7E3BE5E13D88}" name="System boundary" dataDxfId="169"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EAB2F10-9B15-4F66-8D68-C1F415E15013}" name="Table_SourceData_Scope3_LickBlocks" displayName="Table_SourceData_Scope3_LickBlocks" ref="D167:I170" totalsRowShown="0" headerRowDxfId="168"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AF65919-8751-48C3-868F-932655392ECB}" name="Category" dataDxfId="167" dataCellStyle="Content normal">
      <calculatedColumnFormula array="1">Common_InputFunctions.Utility_DisplayArrayInTable(Scope3_SourceData.Scope3_Feed_Data(), Table_SourceData_Scope3_LickBlocks[[#Headers],[Category]], -73, 2)</calculatedColumnFormula>
    </tableColumn>
    <tableColumn id="2" xr3:uid="{203716F5-38C9-4CC7-8BEA-76561DB8F2F3}" name="Product" dataDxfId="166" dataCellStyle="Content normal">
      <calculatedColumnFormula array="1">Common_InputFunctions.Utility_DisplayArrayInTable(Scope3_SourceData.Scope3_Feed_Data(), Table_SourceData_Scope3_LickBlocks[[#Headers],[Category]], -73, 2)</calculatedColumnFormula>
    </tableColumn>
    <tableColumn id="3" xr3:uid="{088DCA2F-5551-40D6-B07E-E41E5BBF09D5}" name="Region of origin" dataDxfId="165" dataCellStyle="Content normal">
      <calculatedColumnFormula array="1">Common_InputFunctions.Utility_DisplayArrayInTable(Scope3_SourceData.Scope3_Feed_Data(), Table_SourceData_Scope3_LickBlocks[[#Headers],[Category]], -73, 2)</calculatedColumnFormula>
    </tableColumn>
    <tableColumn id="4" xr3:uid="{88DAFA4B-27C9-4B1E-8FBB-1F7F396311BC}" name="Quantity Unit" dataDxfId="164" dataCellStyle="Content normal">
      <calculatedColumnFormula array="1">Common_InputFunctions.Utility_DisplayArrayInTable(Scope3_SourceData.Scope3_Feed_Data(), Table_SourceData_Scope3_LickBlocks[[#Headers],[Category]], -73, 2)</calculatedColumnFormula>
    </tableColumn>
    <tableColumn id="5" xr3:uid="{9DA91DEF-5220-4E15-8F18-377A9D4589F0}" name="AusLCI Emissions intensity" dataDxfId="163" dataCellStyle="Content normal">
      <calculatedColumnFormula array="1">Common_InputFunctions.Utility_DisplayArrayInTable(Scope3_SourceData.Scope3_Feed_Data(), Table_SourceData_Scope3_LickBlocks[[#Headers],[Category]], -73, 2)</calculatedColumnFormula>
    </tableColumn>
    <tableColumn id="6" xr3:uid="{CD16A263-30AB-4744-B964-9C52107128DF}" name="System boundary" dataDxfId="162"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386A1DAE-723B-43F2-B73B-59C9EC28C9C6}" name="Table_SourceData_Scope3_MixedRations" displayName="Table_SourceData_Scope3_MixedRations" ref="D161:I165" totalsRowShown="0" headerRowDxfId="161"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5A90C93F-05EE-43B2-B468-C8E9FFCE6381}" name="Category" dataDxfId="160" dataCellStyle="Content normal">
      <calculatedColumnFormula array="1">Common_InputFunctions.Utility_DisplayArrayInTable(Scope3_SourceData.Scope3_Feed_Data(), Table_SourceData_Scope3_MixedRations[[#Headers],[Category]], -66, 2)</calculatedColumnFormula>
    </tableColumn>
    <tableColumn id="2" xr3:uid="{1EE9FB80-8DA5-4DF2-A05F-5551C382EA0E}" name="Product" dataDxfId="159" dataCellStyle="Content normal">
      <calculatedColumnFormula array="1">Common_InputFunctions.Utility_DisplayArrayInTable(Scope3_SourceData.Scope3_Feed_Data(), Table_SourceData_Scope3_MixedRations[[#Headers],[Category]], -66, 2)</calculatedColumnFormula>
    </tableColumn>
    <tableColumn id="3" xr3:uid="{76D00D7F-95C3-4853-B4DC-966CC5932F86}" name="Region of origin" dataDxfId="158" dataCellStyle="Content normal">
      <calculatedColumnFormula array="1">Common_InputFunctions.Utility_DisplayArrayInTable(Scope3_SourceData.Scope3_Feed_Data(), Table_SourceData_Scope3_MixedRations[[#Headers],[Category]], -66, 2)</calculatedColumnFormula>
    </tableColumn>
    <tableColumn id="4" xr3:uid="{DACEF536-A253-48F3-AFAB-DA3111FEF23B}" name="Quantity Unit" dataDxfId="157" dataCellStyle="Content normal">
      <calculatedColumnFormula array="1">Common_InputFunctions.Utility_DisplayArrayInTable(Scope3_SourceData.Scope3_Feed_Data(), Table_SourceData_Scope3_MixedRations[[#Headers],[Category]], -66, 2)</calculatedColumnFormula>
    </tableColumn>
    <tableColumn id="5" xr3:uid="{7818E712-AFFD-49BB-97AB-D8EB67E5B970}" name="AusLCI Emissions intensity" dataDxfId="156" dataCellStyle="Content normal">
      <calculatedColumnFormula array="1">Common_InputFunctions.Utility_DisplayArrayInTable(Scope3_SourceData.Scope3_Feed_Data(), Table_SourceData_Scope3_MixedRations[[#Headers],[Category]], -66, 2)</calculatedColumnFormula>
    </tableColumn>
    <tableColumn id="6" xr3:uid="{804A905E-23D8-4425-A1A3-9A56B4AFAFDE}" name="System boundary" dataDxfId="155"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75BA9357-9C31-473E-88B1-07036F6BE5CA}"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F4836481-E91F-4CBD-887D-40637B546F15}" name="Product">
      <calculatedColumnFormula>Table_SourceData_Scope3_Feed[[#This Row],[Product]]</calculatedColumnFormula>
    </tableColumn>
    <tableColumn id="2" xr3:uid="{C3C4ACF4-B36F-4F22-9FF9-B00E3BEC2089}"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241EA9D-C104-4A51-8BE1-AC957AC227E6}"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7DCCE655-687B-4A9A-99ED-866AB02A109A}" name="Product">
      <calculatedColumnFormula>Table_SourceData_Scope3_Feed[[#This Row],[Product]]</calculatedColumnFormula>
    </tableColumn>
    <tableColumn id="2" xr3:uid="{F96391FF-A98A-48E1-982F-A8C456AB0145}"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25468C9E-CABD-4669-8581-C03FFD40EB2C}" name="Table_ProductRegions_Maizegrain" displayName="Table_ProductRegions_Maizegrain" ref="K98:L105" totalsRowShown="0" headerRowDxfId="154" headerRowCellStyle="Content normal">
  <autoFilter ref="K98:L105" xr:uid="{70F320A7-5DBE-4A83-91E4-C9B3BDA564BD}">
    <filterColumn colId="0" hiddenButton="1"/>
    <filterColumn colId="1" hiddenButton="1"/>
  </autoFilter>
  <tableColumns count="2">
    <tableColumn id="1" xr3:uid="{9C59E86D-6D23-41BA-81AD-49D36261B118}" name="Product">
      <calculatedColumnFormula>Table_SourceData_Scope3_Feed[[#This Row],[Product]]</calculatedColumnFormula>
    </tableColumn>
    <tableColumn id="2" xr3:uid="{A3BD6DD2-C687-49F2-803D-AE290315EB23}"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52073BB-A32C-4879-8440-ADB2C07FCCB4}" name="Table_ProductRegions_Sorghumgrain" displayName="Table_ProductRegions_Sorghumgrain" ref="N105:O110" totalsRowShown="0" headerRowDxfId="153" headerRowCellStyle="Content normal">
  <autoFilter ref="N105:O110" xr:uid="{90205417-8A77-41A3-A4E2-624BD92B7269}">
    <filterColumn colId="0" hiddenButton="1"/>
    <filterColumn colId="1" hiddenButton="1"/>
  </autoFilter>
  <tableColumns count="2">
    <tableColumn id="1" xr3:uid="{C8C248DC-FE90-4F79-9B56-2281AA5D779E}" name="Product">
      <calculatedColumnFormula>Table_SourceData_Scope3_Feed[[#This Row],[Product]]</calculatedColumnFormula>
    </tableColumn>
    <tableColumn id="2" xr3:uid="{8097CDDD-04ED-4832-B93B-B5FD12D4AD11}"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190EFE8C-A0B0-43A6-AE4A-49FD72A893EE}" name="Table_ProductRegions_Wheatgrain" displayName="Table_ProductRegions_Wheatgrain" ref="K110:L118" totalsRowShown="0" headerRowDxfId="152" headerRowCellStyle="Content normal">
  <autoFilter ref="K110:L118" xr:uid="{9DD7D3AD-59A1-48FC-B80D-99C25A2A79F5}">
    <filterColumn colId="0" hiddenButton="1"/>
    <filterColumn colId="1" hiddenButton="1"/>
  </autoFilter>
  <tableColumns count="2">
    <tableColumn id="1" xr3:uid="{9A9744CB-D93F-45F5-885C-D7C5ADC417D4}" name="Product">
      <calculatedColumnFormula>Table_SourceData_Scope3_Feed[[#This Row],[Product]]</calculatedColumnFormula>
    </tableColumn>
    <tableColumn id="2" xr3:uid="{76FA6B74-ADC6-44EB-A6CA-34E9F69E02FD}"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81F53660-F749-4418-B6A6-F97C0A8F8F13}"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92AF85A8-F424-4541-897B-533165E65C7B}" name="Product">
      <calculatedColumnFormula>Table_SourceData_Scope3_Feed[[#This Row],[Product]]</calculatedColumnFormula>
    </tableColumn>
    <tableColumn id="2" xr3:uid="{03D83F6E-E0CA-4202-9DEC-769F2D558EC6}"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5CFA45A8-BAA8-4D76-B625-26B3301E91DE}"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F40C51F9-84B3-45E3-B468-60D559B05432}" name="Product">
      <calculatedColumnFormula>Table_SourceData_Scope3_Feed[[#This Row],[Product]]</calculatedColumnFormula>
    </tableColumn>
    <tableColumn id="2" xr3:uid="{264E8DA0-3B53-4403-9D02-86914AB81570}"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ED9F2CE-1759-4855-8C6D-DD8B30B8F317}"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E27D327C-473E-4B9A-8DB4-F19A2A629842}" name="Product">
      <calculatedColumnFormula>Table_SourceData_Scope3_Feed[[#This Row],[Product]]</calculatedColumnFormula>
    </tableColumn>
    <tableColumn id="2" xr3:uid="{61D61FE2-7F4F-48E4-A1C8-7A8D262A33CA}"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E18CD372-03FA-430D-AEA0-09E9ADCCE9AC}"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9916048C-D0D9-4CBB-854C-7C04DC05EB1B}" name="Product">
      <calculatedColumnFormula>Table_SourceData_Scope3_Feed[[#This Row],[Product]]</calculatedColumnFormula>
    </tableColumn>
    <tableColumn id="2" xr3:uid="{1CD0BFEF-E3DF-4B87-9CCC-3603CFC23F68}"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8CECAA55-E772-4E11-9298-44757163E4B2}"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57136296-18CE-4519-8737-2ECD783933E2}" name="Product">
      <calculatedColumnFormula>Table_SourceData_Scope3_Feed[[#This Row],[Product]]</calculatedColumnFormula>
    </tableColumn>
    <tableColumn id="2" xr3:uid="{E3525258-4052-42AF-AEC2-D8DFFC440F65}"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82DF89B2-9F89-46DB-B12A-8E3D8B000B9A}" name="Table_ProductRegions_Canolameal" displayName="Table_ProductRegions_Canolameal" ref="K151:L152" totalsRowShown="0" headerRowDxfId="151" headerRowCellStyle="Content normal" dataCellStyle="Content normal">
  <autoFilter ref="K151:L152" xr:uid="{58F78B6F-294E-4D4E-8E3B-BFE4FA85583E}">
    <filterColumn colId="0" hiddenButton="1"/>
    <filterColumn colId="1" hiddenButton="1"/>
  </autoFilter>
  <tableColumns count="2">
    <tableColumn id="1" xr3:uid="{A4BB2020-C587-407D-B1F0-4C3C8B4C26E0}" name="Product" dataCellStyle="Content normal">
      <calculatedColumnFormula>Table_SourceData_Scope3_Feed[[#This Row],[Product]]</calculatedColumnFormula>
    </tableColumn>
    <tableColumn id="2" xr3:uid="{D300494D-B5B6-40F8-9FCA-555FFBA22717}"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A48267E9-A5C5-4164-ABAC-36CFD5F362F8}"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08165A14-C7BD-45E8-98B7-FB3E6EF226BD}" name="Product">
      <calculatedColumnFormula>Table_SourceData_Scope3_Feed[[#This Row],[Product]]</calculatedColumnFormula>
    </tableColumn>
    <tableColumn id="2" xr3:uid="{578540C3-8B4A-4B88-B8A2-8BF418C8B9A8}"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939B85E3-A80E-4B90-BCF5-B8DD0FE504F2}"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936D954E-ED55-4413-ABA5-248A5597BE27}" name="Product">
      <calculatedColumnFormula>Table_SourceData_Scope3_Feed[[#This Row],[Product]]</calculatedColumnFormula>
    </tableColumn>
    <tableColumn id="2" xr3:uid="{162AD291-78F2-473C-B209-27EACC9FBC2F}"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818E54F4-BE81-4555-9032-7F0A5FBECFC5}"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53DB7B62-924B-461D-B256-DFBD0B9072CD}" name="Product">
      <calculatedColumnFormula>Table_SourceData_Scope3_Feed[[#This Row],[Product]]</calculatedColumnFormula>
    </tableColumn>
    <tableColumn id="2" xr3:uid="{DA4E6AAF-E172-4D32-AD1D-C26908332EC9}"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553EEF9-1EC6-4B01-AC28-16146B53F889}"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617152D4-A29C-494B-AFB8-BA17C3D044A3}" name="Product">
      <calculatedColumnFormula>Table_SourceData_Scope3_Feed[[#This Row],[Product]]</calculatedColumnFormula>
    </tableColumn>
    <tableColumn id="2" xr3:uid="{A4AB42E8-32B7-4FD9-8B1D-0B4AEEFFEBDC}"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24F5CF3D-C54E-46F8-B38D-8E741107B661}"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4EC1DCF9-7DBC-4FB8-ACB7-AF248EDD24FA}" name="Product">
      <calculatedColumnFormula>Table_SourceData_Scope3_Feed[[#This Row],[Product]]</calculatedColumnFormula>
    </tableColumn>
    <tableColumn id="2" xr3:uid="{BA42633F-926C-4EBC-A529-4F4187AAB055}"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30CF8EBD-CBBC-4189-A268-0AFF2293DCC1}"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5991F6C4-19DD-4780-A5AD-FA3DA95A4783}" name="Product">
      <calculatedColumnFormula>Table_SourceData_Scope3_Feed[[#This Row],[Product]]</calculatedColumnFormula>
    </tableColumn>
    <tableColumn id="2" xr3:uid="{DFE6BFFA-A276-448C-857F-BAD70C58E712}"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28D67B0-2D2A-463C-8BA4-A2998D3081A2}"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4C39E50C-01C0-46BB-A52B-91CD2A71AD11}" name="Product">
      <calculatedColumnFormula>Table_SourceData_Scope3_Feed[[#This Row],[Product]]</calculatedColumnFormula>
    </tableColumn>
    <tableColumn id="2" xr3:uid="{51DE1F02-93B2-4FB0-86B0-51FD24F49CCF}"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BB9B93E2-887F-41EF-B35B-ECE11BA670ED}" name="Table_ProductRegions_Beefcattle131" displayName="Table_ProductRegions_Beefcattle131" ref="K33:L49" totalsRowShown="0">
  <autoFilter ref="K33:L49" xr:uid="{77539992-728B-4655-965B-FB28372E4BBC}">
    <filterColumn colId="0" hiddenButton="1"/>
    <filterColumn colId="1" hiddenButton="1"/>
  </autoFilter>
  <tableColumns count="2">
    <tableColumn id="1" xr3:uid="{BDD104D6-5C33-4EE7-84EA-201307E90E3B}" name="Region"/>
    <tableColumn id="2" xr3:uid="{D61ED3AC-4FE9-4EC9-8923-B7C61AC1A729}" name="Scope3 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3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3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E1620917-2F51-4241-9F59-758E1BDD69A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F926E0E-3D31-4EB4-AE42-C53D3DB779AE}" name="Description"/>
    <tableColumn id="5" xr3:uid="{716B607B-5C16-4A74-80C6-40C6F59661E5}" name="Treatment type (select)" dataCellStyle="Input select"/>
    <tableColumn id="2" xr3:uid="{0CD0C096-733E-49D3-B43D-C42581EC63E8}" name="Waste type (select)" dataCellStyle="Input select"/>
    <tableColumn id="3" xr3:uid="{53EEAF5E-BEA6-40D8-AD37-AB84A734FAFD}" name="Treatment location (select)" dataCellStyle="Input select"/>
    <tableColumn id="4" xr3:uid="{3629E951-4888-4FC3-87A4-EEBE10D4A5A2}" name="Amount" dataCellStyle="Input number general"/>
    <tableColumn id="7" xr3:uid="{048E0863-B416-41C6-BBCD-ACCD49D4873C}" name="Amount unit (select)" dataCellStyle="Input select"/>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8470F8C6-D45A-4C05-91DC-658976F0735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E5455E40-F6EB-4A86-A2BF-D15B71DA76D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A114504-EDEA-42C1-9D39-77A614AC9575}" name="Waste type w" dataDxfId="11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EA37B60-67C4-49B9-8089-9BB53587956F}" name="EFwt" dataDxfId="11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6116DF54-012C-40BD-B320-388B89D2C47E}" name="EF source" dataDxfId="11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AA1CC1C-9F9F-4617-8DC1-3323B3984C5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7127A380-0BFB-40D9-837F-DA63BA4BE68D}"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D3214E0-C321-469B-8FC8-8C7C77F5B6D4}" name="VTMw" dataDxfId="111"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10EDF9E9-4FC9-4310-8577-959B219C00E6}" name="Table_WasteTypes_Landfill" displayName="Table_WasteTypes_Landfill" ref="I16:I27" totalsRowShown="0">
  <autoFilter ref="I16:I27" xr:uid="{99B942E3-1D24-4166-921C-DCC10960718D}">
    <filterColumn colId="0" hiddenButton="1"/>
  </autoFilter>
  <tableColumns count="1">
    <tableColumn id="1" xr3:uid="{AFCDD5EA-F7CE-4521-85BB-28258DF115AE}"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36F6DE8-5989-4B34-8196-1ABCFF9E49D2}" name="Table_WasteTypes_Incineration" displayName="Table_WasteTypes_Incineration" ref="K16:K26" totalsRowShown="0" headerRowDxfId="110" headerRowCellStyle="Content normal" dataCellStyle="Content normal">
  <autoFilter ref="K16:K26" xr:uid="{9A900595-7035-4239-9059-ACC16835BF72}">
    <filterColumn colId="0" hiddenButton="1"/>
  </autoFilter>
  <tableColumns count="1">
    <tableColumn id="1" xr3:uid="{FE94BFF5-BDB4-49BE-9461-3C4657DE4775}" name="Waste type w" dataCellStyle="Content normal">
      <calculatedColumnFormula>E29</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4C555E92-BFD5-40EB-BF18-A3B2A9E8635E}" name="Table_WasteTypes_Composting" displayName="Table_WasteTypes_Composting" ref="M16:M21" totalsRowShown="0" headerRowDxfId="109" headerRowCellStyle="Content normal" dataCellStyle="Content normal">
  <autoFilter ref="M16:M21" xr:uid="{5C8D39D3-1330-49EB-B431-1B2B8C8238DC}">
    <filterColumn colId="0" hiddenButton="1"/>
  </autoFilter>
  <tableColumns count="1">
    <tableColumn id="1" xr3:uid="{E577D79A-2B20-43FF-9A72-7247A82C93EC}" name="Waste type w" totalsRowDxfId="108" dataCellStyle="Content normal">
      <calculatedColumnFormula>E40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630DE3EC-263C-4585-9CC6-D004E045BEB5}" name="Table_WasteTypes_Anaerobicdigestion" displayName="Table_WasteTypes_Anaerobicdigestion" ref="O16:O21" totalsRowShown="0" headerRowDxfId="107" headerRowCellStyle="Content normal" dataCellStyle="Content normal">
  <autoFilter ref="O16:O21" xr:uid="{331EC43E-DF68-429F-A2A4-58BFE6216EC3}">
    <filterColumn colId="0" hiddenButton="1"/>
  </autoFilter>
  <tableColumns count="1">
    <tableColumn id="1" xr3:uid="{70F26358-A34A-47EB-803D-AACCCDA453DC}" name="Waste type w" totalsRowDxfId="106"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8" Type="http://schemas.openxmlformats.org/officeDocument/2006/relationships/table" Target="../tables/table18.xml"/><Relationship Id="rId3" Type="http://schemas.openxmlformats.org/officeDocument/2006/relationships/table" Target="../tables/table13.xml"/><Relationship Id="rId7" Type="http://schemas.openxmlformats.org/officeDocument/2006/relationships/table" Target="../tables/table17.xml"/><Relationship Id="rId2" Type="http://schemas.openxmlformats.org/officeDocument/2006/relationships/table" Target="../tables/table12.xml"/><Relationship Id="rId1" Type="http://schemas.openxmlformats.org/officeDocument/2006/relationships/printerSettings" Target="../printerSettings/printerSettings8.bin"/><Relationship Id="rId6" Type="http://schemas.openxmlformats.org/officeDocument/2006/relationships/table" Target="../tables/table16.xml"/><Relationship Id="rId5" Type="http://schemas.openxmlformats.org/officeDocument/2006/relationships/table" Target="../tables/table15.xml"/><Relationship Id="rId4" Type="http://schemas.openxmlformats.org/officeDocument/2006/relationships/table" Target="../tables/table14.xml"/><Relationship Id="rId9" Type="http://schemas.openxmlformats.org/officeDocument/2006/relationships/table" Target="../tables/table1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28.xml"/><Relationship Id="rId13" Type="http://schemas.openxmlformats.org/officeDocument/2006/relationships/table" Target="../tables/table33.xml"/><Relationship Id="rId18" Type="http://schemas.openxmlformats.org/officeDocument/2006/relationships/table" Target="../tables/table38.xml"/><Relationship Id="rId26" Type="http://schemas.openxmlformats.org/officeDocument/2006/relationships/table" Target="../tables/table46.xml"/><Relationship Id="rId3" Type="http://schemas.openxmlformats.org/officeDocument/2006/relationships/table" Target="../tables/table23.xml"/><Relationship Id="rId21" Type="http://schemas.openxmlformats.org/officeDocument/2006/relationships/table" Target="../tables/table41.xml"/><Relationship Id="rId7" Type="http://schemas.openxmlformats.org/officeDocument/2006/relationships/table" Target="../tables/table27.xml"/><Relationship Id="rId12" Type="http://schemas.openxmlformats.org/officeDocument/2006/relationships/table" Target="../tables/table32.xml"/><Relationship Id="rId17" Type="http://schemas.openxmlformats.org/officeDocument/2006/relationships/table" Target="../tables/table37.xml"/><Relationship Id="rId25" Type="http://schemas.openxmlformats.org/officeDocument/2006/relationships/table" Target="../tables/table45.xml"/><Relationship Id="rId2" Type="http://schemas.openxmlformats.org/officeDocument/2006/relationships/table" Target="../tables/table22.xml"/><Relationship Id="rId16" Type="http://schemas.openxmlformats.org/officeDocument/2006/relationships/table" Target="../tables/table36.xml"/><Relationship Id="rId20" Type="http://schemas.openxmlformats.org/officeDocument/2006/relationships/table" Target="../tables/table40.xml"/><Relationship Id="rId1" Type="http://schemas.openxmlformats.org/officeDocument/2006/relationships/printerSettings" Target="../printerSettings/printerSettings25.bin"/><Relationship Id="rId6" Type="http://schemas.openxmlformats.org/officeDocument/2006/relationships/table" Target="../tables/table26.xml"/><Relationship Id="rId11" Type="http://schemas.openxmlformats.org/officeDocument/2006/relationships/table" Target="../tables/table31.xml"/><Relationship Id="rId24" Type="http://schemas.openxmlformats.org/officeDocument/2006/relationships/table" Target="../tables/table44.xml"/><Relationship Id="rId5" Type="http://schemas.openxmlformats.org/officeDocument/2006/relationships/table" Target="../tables/table25.xml"/><Relationship Id="rId15" Type="http://schemas.openxmlformats.org/officeDocument/2006/relationships/table" Target="../tables/table35.xml"/><Relationship Id="rId23" Type="http://schemas.openxmlformats.org/officeDocument/2006/relationships/table" Target="../tables/table43.xml"/><Relationship Id="rId28" Type="http://schemas.openxmlformats.org/officeDocument/2006/relationships/table" Target="../tables/table48.xml"/><Relationship Id="rId10" Type="http://schemas.openxmlformats.org/officeDocument/2006/relationships/table" Target="../tables/table30.xml"/><Relationship Id="rId19" Type="http://schemas.openxmlformats.org/officeDocument/2006/relationships/table" Target="../tables/table39.xml"/><Relationship Id="rId4" Type="http://schemas.openxmlformats.org/officeDocument/2006/relationships/table" Target="../tables/table24.xml"/><Relationship Id="rId9" Type="http://schemas.openxmlformats.org/officeDocument/2006/relationships/table" Target="../tables/table29.xml"/><Relationship Id="rId14" Type="http://schemas.openxmlformats.org/officeDocument/2006/relationships/table" Target="../tables/table34.xml"/><Relationship Id="rId22" Type="http://schemas.openxmlformats.org/officeDocument/2006/relationships/table" Target="../tables/table42.xml"/><Relationship Id="rId27" Type="http://schemas.openxmlformats.org/officeDocument/2006/relationships/table" Target="../tables/table4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5.xml"/><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26.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 Id="rId9" Type="http://schemas.openxmlformats.org/officeDocument/2006/relationships/table" Target="../tables/table56.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58.xml"/><Relationship Id="rId7" Type="http://schemas.openxmlformats.org/officeDocument/2006/relationships/table" Target="../tables/table62.xml"/><Relationship Id="rId2" Type="http://schemas.openxmlformats.org/officeDocument/2006/relationships/table" Target="../tables/table57.xml"/><Relationship Id="rId1" Type="http://schemas.openxmlformats.org/officeDocument/2006/relationships/printerSettings" Target="../printerSettings/printerSettings27.bin"/><Relationship Id="rId6" Type="http://schemas.openxmlformats.org/officeDocument/2006/relationships/table" Target="../tables/table61.xml"/><Relationship Id="rId5" Type="http://schemas.openxmlformats.org/officeDocument/2006/relationships/table" Target="../tables/table60.xml"/><Relationship Id="rId4" Type="http://schemas.openxmlformats.org/officeDocument/2006/relationships/table" Target="../tables/table59.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64.xml"/><Relationship Id="rId1" Type="http://schemas.openxmlformats.org/officeDocument/2006/relationships/table" Target="../tables/table63.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28.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78.xml"/><Relationship Id="rId7" Type="http://schemas.openxmlformats.org/officeDocument/2006/relationships/table" Target="../tables/table82.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5" Type="http://schemas.openxmlformats.org/officeDocument/2006/relationships/table" Target="../tables/table80.xml"/><Relationship Id="rId4" Type="http://schemas.openxmlformats.org/officeDocument/2006/relationships/table" Target="../tables/table79.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0.xml"/><Relationship Id="rId13" Type="http://schemas.openxmlformats.org/officeDocument/2006/relationships/table" Target="../tables/table95.xml"/><Relationship Id="rId18" Type="http://schemas.openxmlformats.org/officeDocument/2006/relationships/table" Target="../tables/table100.xml"/><Relationship Id="rId26" Type="http://schemas.openxmlformats.org/officeDocument/2006/relationships/table" Target="../tables/table108.xml"/><Relationship Id="rId3" Type="http://schemas.openxmlformats.org/officeDocument/2006/relationships/table" Target="../tables/table85.xml"/><Relationship Id="rId21" Type="http://schemas.openxmlformats.org/officeDocument/2006/relationships/table" Target="../tables/table103.xml"/><Relationship Id="rId7" Type="http://schemas.openxmlformats.org/officeDocument/2006/relationships/table" Target="../tables/table89.xml"/><Relationship Id="rId12" Type="http://schemas.openxmlformats.org/officeDocument/2006/relationships/table" Target="../tables/table94.xml"/><Relationship Id="rId17" Type="http://schemas.openxmlformats.org/officeDocument/2006/relationships/table" Target="../tables/table99.xml"/><Relationship Id="rId25" Type="http://schemas.openxmlformats.org/officeDocument/2006/relationships/table" Target="../tables/table107.xml"/><Relationship Id="rId2" Type="http://schemas.openxmlformats.org/officeDocument/2006/relationships/table" Target="../tables/table84.xml"/><Relationship Id="rId16" Type="http://schemas.openxmlformats.org/officeDocument/2006/relationships/table" Target="../tables/table98.xml"/><Relationship Id="rId20" Type="http://schemas.openxmlformats.org/officeDocument/2006/relationships/table" Target="../tables/table102.xml"/><Relationship Id="rId29" Type="http://schemas.openxmlformats.org/officeDocument/2006/relationships/table" Target="../tables/table111.xml"/><Relationship Id="rId1" Type="http://schemas.openxmlformats.org/officeDocument/2006/relationships/table" Target="../tables/table83.xml"/><Relationship Id="rId6" Type="http://schemas.openxmlformats.org/officeDocument/2006/relationships/table" Target="../tables/table88.xml"/><Relationship Id="rId11" Type="http://schemas.openxmlformats.org/officeDocument/2006/relationships/table" Target="../tables/table93.xml"/><Relationship Id="rId24" Type="http://schemas.openxmlformats.org/officeDocument/2006/relationships/table" Target="../tables/table106.xml"/><Relationship Id="rId5" Type="http://schemas.openxmlformats.org/officeDocument/2006/relationships/table" Target="../tables/table87.xml"/><Relationship Id="rId15" Type="http://schemas.openxmlformats.org/officeDocument/2006/relationships/table" Target="../tables/table97.xml"/><Relationship Id="rId23" Type="http://schemas.openxmlformats.org/officeDocument/2006/relationships/table" Target="../tables/table105.xml"/><Relationship Id="rId28" Type="http://schemas.openxmlformats.org/officeDocument/2006/relationships/table" Target="../tables/table110.xml"/><Relationship Id="rId10" Type="http://schemas.openxmlformats.org/officeDocument/2006/relationships/table" Target="../tables/table92.xml"/><Relationship Id="rId19" Type="http://schemas.openxmlformats.org/officeDocument/2006/relationships/table" Target="../tables/table101.xml"/><Relationship Id="rId4" Type="http://schemas.openxmlformats.org/officeDocument/2006/relationships/table" Target="../tables/table86.xml"/><Relationship Id="rId9" Type="http://schemas.openxmlformats.org/officeDocument/2006/relationships/table" Target="../tables/table91.xml"/><Relationship Id="rId14" Type="http://schemas.openxmlformats.org/officeDocument/2006/relationships/table" Target="../tables/table96.xml"/><Relationship Id="rId22" Type="http://schemas.openxmlformats.org/officeDocument/2006/relationships/table" Target="../tables/table104.xml"/><Relationship Id="rId27" Type="http://schemas.openxmlformats.org/officeDocument/2006/relationships/table" Target="../tables/table109.xml"/><Relationship Id="rId30" Type="http://schemas.openxmlformats.org/officeDocument/2006/relationships/table" Target="../tables/table112.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119.xml"/><Relationship Id="rId13" Type="http://schemas.openxmlformats.org/officeDocument/2006/relationships/table" Target="../tables/table124.xml"/><Relationship Id="rId18" Type="http://schemas.openxmlformats.org/officeDocument/2006/relationships/table" Target="../tables/table129.xml"/><Relationship Id="rId3" Type="http://schemas.openxmlformats.org/officeDocument/2006/relationships/table" Target="../tables/table114.xml"/><Relationship Id="rId7" Type="http://schemas.openxmlformats.org/officeDocument/2006/relationships/table" Target="../tables/table118.xml"/><Relationship Id="rId12" Type="http://schemas.openxmlformats.org/officeDocument/2006/relationships/table" Target="../tables/table123.xml"/><Relationship Id="rId17" Type="http://schemas.openxmlformats.org/officeDocument/2006/relationships/table" Target="../tables/table128.xml"/><Relationship Id="rId2" Type="http://schemas.openxmlformats.org/officeDocument/2006/relationships/table" Target="../tables/table113.xml"/><Relationship Id="rId16" Type="http://schemas.openxmlformats.org/officeDocument/2006/relationships/table" Target="../tables/table127.xml"/><Relationship Id="rId1" Type="http://schemas.openxmlformats.org/officeDocument/2006/relationships/printerSettings" Target="../printerSettings/printerSettings29.bin"/><Relationship Id="rId6" Type="http://schemas.openxmlformats.org/officeDocument/2006/relationships/table" Target="../tables/table117.xml"/><Relationship Id="rId11" Type="http://schemas.openxmlformats.org/officeDocument/2006/relationships/table" Target="../tables/table122.xml"/><Relationship Id="rId5" Type="http://schemas.openxmlformats.org/officeDocument/2006/relationships/table" Target="../tables/table116.xml"/><Relationship Id="rId15" Type="http://schemas.openxmlformats.org/officeDocument/2006/relationships/table" Target="../tables/table126.xml"/><Relationship Id="rId10" Type="http://schemas.openxmlformats.org/officeDocument/2006/relationships/table" Target="../tables/table121.xml"/><Relationship Id="rId4" Type="http://schemas.openxmlformats.org/officeDocument/2006/relationships/table" Target="../tables/table115.xml"/><Relationship Id="rId9" Type="http://schemas.openxmlformats.org/officeDocument/2006/relationships/table" Target="../tables/table120.xml"/><Relationship Id="rId14" Type="http://schemas.openxmlformats.org/officeDocument/2006/relationships/table" Target="../tables/table125.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printerSettings" Target="../printerSettings/printerSettings30.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3.xml.rels><?xml version="1.0" encoding="UTF-8" standalone="yes"?>
<Relationships xmlns="http://schemas.openxmlformats.org/package/2006/relationships"><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32.bin"/><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5"/>
  <sheetViews>
    <sheetView workbookViewId="0" zoomScale="100" zoomScaleNormal="100">
      <selection activeCell="A55" sqref="A55"/>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Pasture'!A1", "Pasture")</f>
        <v>Pasture</v>
      </c>
    </row>
    <row r="14" spans="1:1" ht="15.75" x14ac:dyDescent="0.25">
      <c r="A14" s="5" t="str">
        <f>HYPERLINK("#'Input - Fertiliser'!A1", "Fertiliser")</f>
        <v>Fertiliser</v>
      </c>
    </row>
    <row r="15" spans="1:1" ht="15.75" x14ac:dyDescent="0.25">
      <c r="A15" s="5" t="str">
        <f>HYPERLINK("#'Input - Fuel'!A1", "Fuel")</f>
        <v>Fuel</v>
      </c>
    </row>
    <row r="16" spans="1:1" ht="15.75" x14ac:dyDescent="0.25">
      <c r="A16" s="5" t="str">
        <f>HYPERLINK("#'Input - Electricity'!A1", "Electricity")</f>
        <v>Electricity</v>
      </c>
    </row>
    <row r="17" spans="1:1" ht="15.75" x14ac:dyDescent="0.25">
      <c r="A17" s="5" t="str">
        <f>HYPERLINK("#'Input - Farm Inputs'!A1", "Farm Inputs")</f>
        <v>Farm Inputs</v>
      </c>
    </row>
    <row r="18" spans="1:1" ht="15.75" x14ac:dyDescent="0.25">
      <c r="A18" s="5" t="str">
        <f>HYPERLINK("#'Input - Freight'!A1", "Freight")</f>
        <v>Freight</v>
      </c>
    </row>
    <row r="19" spans="1:1" ht="15.75" x14ac:dyDescent="0.25">
      <c r="A19" s="5" t="str">
        <f>HYPERLINK("#'Input - Manure sent off-site'!A1", "Manure sent off-site")</f>
        <v>Manure sent off-site</v>
      </c>
    </row>
    <row r="20" spans="1:1" ht="15.75" x14ac:dyDescent="0.25">
      <c r="A20" s="5" t="str">
        <f>HYPERLINK("#'Input - Solid waste'!A1", "Solid waste")</f>
        <v>Solid waste</v>
      </c>
    </row>
    <row r="23" spans="1:1" x14ac:dyDescent="0.25">
      <c r="A23" s="6" t="s">
        <v>2</v>
      </c>
    </row>
    <row r="24" spans="1:1" ht="15.75" x14ac:dyDescent="0.25">
      <c r="A24" s="5" t="str">
        <f>HYPERLINK("#'3.2.1.1-2 Enteric Methane'!A1", "3.2.1.1-2 Enteric methane")</f>
        <v>3.2.1.1-2 Enteric methane</v>
      </c>
    </row>
    <row r="25" spans="1:1" ht="15.75" x14ac:dyDescent="0.25">
      <c r="A25" s="5" t="str">
        <f>HYPERLINK("#'4.2.1.1-2 Methane'!A1", "4.2.1.1-2 Manure methane")</f>
        <v>4.2.1.1-2 Manure methane</v>
      </c>
    </row>
    <row r="26" spans="1:1" ht="15.75" x14ac:dyDescent="0.25">
      <c r="A26" s="5" t="str">
        <f>HYPERLINK("#'4.2.1.3-4 Soil direct N20'!A1", "4.2.1.3-4 Soil direct N2O")</f>
        <v>4.2.1.3-4 Soil direct N2O</v>
      </c>
    </row>
    <row r="27" spans="1:1" ht="15.75" x14ac:dyDescent="0.25">
      <c r="A27" s="5" t="str">
        <f>HYPERLINK("#'4.2.1.5-6 Soil Atmos Dep'!A1", "4.2.1.5-6 Soil atm. deposition")</f>
        <v>4.2.1.5-6 Soil atm. deposition</v>
      </c>
    </row>
    <row r="28" spans="1:1" ht="15.75" x14ac:dyDescent="0.25">
      <c r="A28" s="5" t="str">
        <f>HYPERLINK("#'4.2.1.7-8 Soil leach runoff'!A1", "4.2.1.7-8 Soil leach &amp; runoff")</f>
        <v>4.2.1.7-8 Soil leach &amp; runoff</v>
      </c>
    </row>
    <row r="29" spans="1:1" ht="15.75" x14ac:dyDescent="0.25">
      <c r="A29" s="5" t="str">
        <f>HYPERLINK("#'5.1.1.1-2 Inorganic fert N2O'!A1", "5.1.1.1-2 Inorganic fert N2O")</f>
        <v>5.1.1.1-2 Inorganic fert N2O</v>
      </c>
    </row>
    <row r="30" spans="1:1" ht="15.75" x14ac:dyDescent="0.25">
      <c r="A30" s="5" t="str">
        <f>HYPERLINK("#'5.1.1.3-4 Inorganic fert CO2'!A1", "5.1.1.3-4 Inorganic fert CO2")</f>
        <v>5.1.1.3-4 Inorganic fert CO2</v>
      </c>
    </row>
    <row r="31" spans="1:1" ht="15.75" x14ac:dyDescent="0.25">
      <c r="A31" s="5" t="str">
        <f>HYPERLINK("#'5.2.1.1-2 Organic Fert N2O'!A1", "5.2.1.1-2 Organic fert N2O")</f>
        <v>5.2.1.1-2 Organic fert N2O</v>
      </c>
    </row>
    <row r="32" spans="1:1" ht="15.75" x14ac:dyDescent="0.25">
      <c r="A32" s="5" t="str">
        <f>HYPERLINK("#'5.3.1.1-2 Lime CO2'!A1", "5.3.1.1-2 Lime CO2")</f>
        <v>5.3.1.1-2 Lime CO2</v>
      </c>
    </row>
    <row r="33" spans="1:1" ht="15.75" x14ac:dyDescent="0.25">
      <c r="A33" s="5" t="str">
        <f>HYPERLINK("#'5.4.1.1-4 Atmos deposition'!A1", "5.4.1.1-4 Atmos. deposition")</f>
        <v>5.4.1.1-4 Atmos. deposition</v>
      </c>
    </row>
    <row r="34" spans="1:1" ht="15.75" x14ac:dyDescent="0.25">
      <c r="A34" s="5" t="str">
        <f>HYPERLINK("#'5.5.1.1-2 Leaching and runoff'!A1", "5.5.1.1-2 Leaching &amp; runoff")</f>
        <v>5.5.1.1-2 Leaching &amp; runoff</v>
      </c>
    </row>
    <row r="35" spans="1:1" ht="15.75" x14ac:dyDescent="0.25">
      <c r="A35" s="5" t="str">
        <f>HYPERLINK("#'6.2.1.1-2 Pasture residue N2O'!A1", "6.2.1.1-2 Pasture residue N2O")</f>
        <v>6.2.1.1-2 Pasture residue N2O</v>
      </c>
    </row>
    <row r="36" spans="1:1" ht="15.75" x14ac:dyDescent="0.25">
      <c r="A36" s="5" t="str">
        <f>HYPERLINK("#'6.3.1.1-2 Leach runoff pasture'!A1", "6.3.1.1-2 Leach &amp; runoff (pasture)")</f>
        <v>6.3.1.1-2 Leach &amp; runoff (pasture)</v>
      </c>
    </row>
    <row r="37" spans="1:1" ht="15.75" x14ac:dyDescent="0.25">
      <c r="A37" s="5" t="str">
        <f>HYPERLINK("#'8.1.1.1-2 Transport fuel'!A1", "8.1.1.1-2 Transport fuel")</f>
        <v>8.1.1.1-2 Transport fuel</v>
      </c>
    </row>
    <row r="38" spans="1:1" ht="15.75" x14ac:dyDescent="0.25">
      <c r="A38" s="5" t="str">
        <f>HYPERLINK("#'8.2.1.1-2 Stationary fuel'!A1", "8.2.1.1-2 Stationary fuel")</f>
        <v>8.2.1.1-2 Stationary fuel</v>
      </c>
    </row>
    <row r="39" spans="1:1" ht="15.75" x14ac:dyDescent="0.25">
      <c r="A39" s="5" t="str">
        <f>HYPERLINK("#'14.1.1-2 Purchased electricity'!A1", "14.1.1-2 Purchased electricity")</f>
        <v>14.1.1-2 Purchased electricity</v>
      </c>
    </row>
    <row r="40" spans="1:1" ht="15.75" x14ac:dyDescent="0.25">
      <c r="A40" s="5" t="str">
        <f>HYPERLINK("#'15 Scope 3'!A1", "15 Scope 3")</f>
        <v>15 Scope 3</v>
      </c>
    </row>
    <row r="41" spans="1:1" ht="15.75" x14ac:dyDescent="0.25">
      <c r="A41" s="5" t="str">
        <f>HYPERLINK("#'Calcs - Manure sent off-site'!A1", "Calcs - Manure sent off-site")</f>
        <v>Calcs - Manure sent off-site</v>
      </c>
    </row>
    <row r="42" spans="1:1" ht="15.75" x14ac:dyDescent="0.25">
      <c r="A42" s="5" t="str">
        <f>HYPERLINK("#'10.1.1-2 Solid waste treatment'!A1", "10.1.1-2 Solid waste treatment")</f>
        <v>10.1.1-2 Solid waste treatment</v>
      </c>
    </row>
    <row r="45" spans="1:1" x14ac:dyDescent="0.25">
      <c r="A45" s="94" t="s">
        <v>1</v>
      </c>
    </row>
    <row r="46" spans="1:1" ht="15.75" x14ac:dyDescent="0.25">
      <c r="A46" s="5" t="str">
        <f>HYPERLINK("#'Constants - Pasture Beef'!A1", "Constants - Pasture Beef")</f>
        <v>Constants - Pasture Beef</v>
      </c>
    </row>
    <row r="47" spans="1:1" ht="15.75" x14ac:dyDescent="0.25">
      <c r="A47" s="5" t="str">
        <f>HYPERLINK("#'Constants - Ag Residue'!A1", "Constants - Ag residue")</f>
        <v>Constants - Ag residue</v>
      </c>
    </row>
    <row r="48" spans="1:1" ht="15.75" x14ac:dyDescent="0.25">
      <c r="A48" s="5" t="str">
        <f>HYPERLINK("#'Constants - Common Livestock'!A1", "Constants - Common Livestock")</f>
        <v>Constants - Common Livestock</v>
      </c>
    </row>
    <row r="49" spans="1:1" ht="15.75" x14ac:dyDescent="0.25">
      <c r="A49" s="5" t="str">
        <f>HYPERLINK("#'Constants - Electricity'!A1", "Constants - Electricity")</f>
        <v>Constants - Electricity</v>
      </c>
    </row>
    <row r="50" spans="1:1" ht="15.75" x14ac:dyDescent="0.25">
      <c r="A50" s="5" t="str">
        <f>HYPERLINK("#'Constants - Fertiliser'!A1", "Constants - Fertiliser")</f>
        <v>Constants - Fertiliser</v>
      </c>
    </row>
    <row r="51" spans="1:1" ht="15.75" x14ac:dyDescent="0.25">
      <c r="A51" s="5" t="str">
        <f>HYPERLINK("#'Constants - Fuel'!A1", "Constants - Fuel")</f>
        <v>Constants - Fuel</v>
      </c>
    </row>
    <row r="52" spans="1:1" ht="15.75" x14ac:dyDescent="0.25">
      <c r="A52" s="5" t="str">
        <f>HYPERLINK("#'Constants - Scope 3'!A1", "Constants - Scope 3")</f>
        <v>Constants - Scope 3</v>
      </c>
    </row>
    <row r="53" spans="1:1" ht="15.75" x14ac:dyDescent="0.25">
      <c r="A53" s="5" t="str">
        <f>HYPERLINK("#'Constants - Common'!A1", "Constants - Common")</f>
        <v>Constants - Common</v>
      </c>
    </row>
    <row r="54" spans="1:1" ht="15.75" x14ac:dyDescent="0.25">
      <c r="A54" s="5" t="str">
        <f>HYPERLINK("#'Acknowledgements'!A1", "Acknowledgements")</f>
        <v>Acknowledgements</v>
      </c>
    </row>
    <row r="55" spans="1:1" ht="15.75" x14ac:dyDescent="0.25">
      <c r="A55"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1" workbookViewId="0" zoomScale="100" zoomScaleNormal="100">
      <selection activeCell="A55" sqref="A55"/>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157</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7" t="s">
        <v>0</v>
      </c>
      <c r="C8" s="8"/>
      <c r="D8" s="1" t="s">
        <v>13</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15</v>
      </c>
      <c r="E9" s="18" cm="1">
        <f t="array" aca="1" ref="E9" ca="1">VEERG_4_2_1_3__1_DirectNitrousOxideEmissionsOnPasture_Result_Method1</f>
        <v>0.19011252663030423</v>
      </c>
      <c r="F9" s="18" cm="1">
        <f t="array" aca="1" ref="F9" ca="1">VEERG_4_2_1_3__1_DirectNitrousOxideEmissionsOnPasture_Result_Method2</f>
        <v>0.18424525527410571</v>
      </c>
      <c r="G9" s="15" t="s">
        <v>14</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16</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14</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17</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14</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Pasture'!A1", "Pasture")</f>
        <v>Pasture</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Fertiliser'!A1", "Fertiliser")</f>
        <v>Fertiliser</v>
      </c>
      <c r="C14" s="8"/>
      <c r="D14" s="1" t="s">
        <v>160</v>
      </c>
      <c r="E14" s="18" cm="1">
        <f t="array" ref="E14">VEERG_5_2_1_1__2_MassOfNitrogenInOrganicFertiliser_Result_Method1</f>
        <v>5.5785714285714293E-3</v>
      </c>
      <c r="F14" s="18">
        <f>E14</f>
        <v>5.5785714285714293E-3</v>
      </c>
      <c r="G14" s="15" t="s">
        <v>14</v>
      </c>
      <c r="H14" s="18" cm="1">
        <f t="array" ref="H14">Common_Equations.Common_ConvertN2OToCO2e(E14,_xlfn.XLOOKUP("N2O", Table_GWPData[Gas],Table_GWPData[CO2-e factor]))</f>
        <v>1.4783214285714288</v>
      </c>
      <c r="I14" s="18" cm="1">
        <f t="array" ref="I14">Common_Equations.Common_ConvertN2OToCO2e(F14,_xlfn.XLOOKUP("N2O", Table_GWPData[Gas],Table_GWPData[CO2-e factor]))</f>
        <v>1.4783214285714288</v>
      </c>
      <c r="J14" s="15" t="s">
        <v>7</v>
      </c>
      <c r="K14" s="8"/>
    </row>
    <row r="15" spans="1:11" ht="20.100000000000001" customHeight="1" x14ac:dyDescent="0.25">
      <c r="A15" s="5" t="str">
        <f>HYPERLINK("#'Input - Fuel'!A1", "Fuel")</f>
        <v>Fuel</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A16" s="5" t="str">
        <f>HYPERLINK("#'Input - Electricity'!A1", "Electricity")</f>
        <v>Electricity</v>
      </c>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A17" s="5" t="str">
        <f>HYPERLINK("#'Input - Farm Inputs'!A1", "Farm Inputs")</f>
        <v>Farm Inputs</v>
      </c>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5" t="str">
        <f>HYPERLINK("#'Input - Freight'!A1", "Freight")</f>
        <v>Freight</v>
      </c>
      <c r="C18" s="8"/>
      <c r="D18" s="1" t="s">
        <v>164</v>
      </c>
      <c r="E18" s="18" cm="1">
        <f t="array" ref="E18">VEERG_6_2_1_1__1__NitrousOxideEmissionsFromPastureResidues_Result_Method1</f>
        <v>5.8320428571428569E-7</v>
      </c>
      <c r="F18" s="18" cm="1">
        <f t="array" ref="F18">VEERG_6_2_1_1__1__NitrousOxideEmissionsFromPastureResidues_Result_Method2</f>
        <v>5.8320428571428569E-7</v>
      </c>
      <c r="G18" s="15" t="s">
        <v>14</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Manure sent off-site'!A1", "Manure sent off-site")</f>
        <v>Manure sent off-site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Solid waste'!A1", "Solid waste")</f>
        <v>Solid waste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6" t="s">
        <v>2</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HYPERLINK("#'3.2.1.1-2 Enteric Methane'!A1", "3.2.1.1-2 Enteric methane")</f>
        <v>3.2.1.1-2 Enteric methane</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HYPERLINK("#'4.2.1.1-2 Methane'!A1", "4.2.1.1-2 Manure methane")</f>
        <v>4.2.1.1-2 Manure methane</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HYPERLINK("#'4.2.1.3-4 Soil direct N20'!A1", "4.2.1.3-4 Soil direct N2O")</f>
        <v>4.2.1.3-4 Soil direct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HYPERLINK("#'4.2.1.5-6 Soil Atmos Dep'!A1", "4.2.1.5-6 Soil atm. deposition")</f>
        <v>4.2.1.5-6 Soil atm. deposition</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HYPERLINK("#'4.2.1.7-8 Soil leach runoff'!A1", "4.2.1.7-8 Soil leach &amp; runoff")</f>
        <v>4.2.1.7-8 Soil leach &amp; runoff</v>
      </c>
      <c r="C28" s="8"/>
      <c r="D28" s="14" t="s">
        <v>4</v>
      </c>
      <c r="E28" s="9"/>
      <c r="F28" s="9"/>
      <c r="G28" s="14"/>
      <c r="H28" s="19">
        <f ca="1">SUM(H7:H27)</f>
        <v>2163.8869728956465</v>
      </c>
      <c r="I28" s="19">
        <f ca="1">SUM(I7:I27)</f>
        <v>2162.324809519278</v>
      </c>
      <c r="J28" s="15" t="s">
        <v>7</v>
      </c>
      <c r="K28" s="8"/>
    </row>
    <row r="29" spans="1:11" ht="20.100000000000001" customHeight="1" x14ac:dyDescent="0.3">
      <c r="A29" s="5" t="str">
        <f>HYPERLINK("#'5.1.1.1-2 Inorganic fert N2O'!A1", "5.1.1.1-2 Inorganic fert N2O")</f>
        <v>5.1.1.1-2 Inorganic fert N2O</v>
      </c>
      <c r="C29" s="8"/>
      <c r="D29" s="1"/>
      <c r="E29" s="1"/>
      <c r="F29" s="1"/>
      <c r="G29" s="1"/>
      <c r="H29" s="13"/>
      <c r="I29" s="8"/>
      <c r="J29" s="8"/>
      <c r="K29" s="8"/>
    </row>
    <row r="30" spans="1:11" ht="20.100000000000001" customHeight="1" x14ac:dyDescent="0.3">
      <c r="A30" s="5" t="str">
        <f>HYPERLINK("#'5.1.1.3-4 Inorganic fert CO2'!A1", "5.1.1.3-4 Inorganic fert CO2")</f>
        <v>5.1.1.3-4 Inorganic fert CO2</v>
      </c>
      <c r="C30" s="8"/>
      <c r="D30" s="1"/>
      <c r="E30" s="1"/>
      <c r="F30" s="1"/>
      <c r="G30" s="1"/>
      <c r="H30" s="13"/>
      <c r="I30" s="8"/>
      <c r="J30" s="8"/>
      <c r="K30" s="8"/>
    </row>
    <row r="31" spans="1:11" ht="20.100000000000001" customHeight="1" x14ac:dyDescent="0.3">
      <c r="A31" s="5" t="str">
        <f>HYPERLINK("#'5.2.1.1-2 Organic Fert N2O'!A1", "5.2.1.1-2 Organic fert N2O")</f>
        <v>5.2.1.1-2 Organic fert N2O</v>
      </c>
      <c r="C31" s="8"/>
      <c r="D31" s="1"/>
      <c r="E31" s="1"/>
      <c r="F31" s="1"/>
      <c r="G31" s="1"/>
      <c r="H31" s="13"/>
      <c r="I31" s="8"/>
      <c r="J31" s="8"/>
      <c r="K31" s="8"/>
    </row>
    <row r="32" spans="1:11" ht="20.100000000000001" customHeight="1" x14ac:dyDescent="0.3">
      <c r="A32" s="5" t="str">
        <f>HYPERLINK("#'5.3.1.1-2 Lime CO2'!A1", "5.3.1.1-2 Lime CO2")</f>
        <v>5.3.1.1-2 Lime CO2</v>
      </c>
      <c r="C32" s="8"/>
      <c r="D32" s="2" t="s">
        <v>126</v>
      </c>
      <c r="E32" s="1"/>
      <c r="F32" s="1"/>
      <c r="G32" s="1"/>
      <c r="H32" s="13"/>
      <c r="I32" s="8"/>
      <c r="J32" s="8"/>
      <c r="K32" s="8"/>
    </row>
    <row r="33" spans="1:11" ht="20.100000000000001" customHeight="1" x14ac:dyDescent="0.3">
      <c r="A33" s="5" t="str">
        <f>HYPERLINK("#'5.4.1.1-4 Atmos deposition'!A1", "5.4.1.1-4 Atmos. deposition")</f>
        <v>5.4.1.1-4 Atmos. deposition</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HYPERLINK("#'5.5.1.1-2 Leaching and runoff'!A1", "5.5.1.1-2 Leaching &amp; runoff")</f>
        <v>5.5.1.1-2 Leaching &amp; runoff</v>
      </c>
      <c r="C34" s="8"/>
      <c r="D34" s="1" t="s">
        <v>128</v>
      </c>
      <c r="E34" s="1"/>
      <c r="F34" s="1"/>
      <c r="G34" s="1"/>
      <c r="H34" s="13"/>
      <c r="I34" s="8"/>
      <c r="J34" s="8"/>
      <c r="K34" s="8"/>
    </row>
    <row r="35" spans="1:11" ht="20.100000000000001" customHeight="1" x14ac:dyDescent="0.3">
      <c r="A35" s="5" t="str">
        <f>HYPERLINK("#'6.2.1.1-2 Pasture residue N2O'!A1", "6.2.1.1-2 Pasture residue N2O")</f>
        <v>6.2.1.1-2 Pasture residue N2O</v>
      </c>
      <c r="C35" s="8"/>
      <c r="D35" s="1"/>
      <c r="E35" s="1"/>
      <c r="F35" s="1"/>
      <c r="G35" s="1"/>
      <c r="H35" s="13"/>
      <c r="I35" s="8"/>
      <c r="J35" s="8"/>
      <c r="K35" s="8"/>
    </row>
    <row r="36" spans="1:11" ht="20.100000000000001" customHeight="1" x14ac:dyDescent="0.3">
      <c r="A36" s="5" t="str">
        <f>HYPERLINK("#'6.3.1.1-2 Leach runoff pasture'!A1", "6.3.1.1-2 Leach &amp; runoff (pasture)")</f>
        <v>6.3.1.1-2 Leach &amp; runoff (pasture)</v>
      </c>
      <c r="C36" s="8"/>
      <c r="D36" s="20" t="s">
        <v>127</v>
      </c>
      <c r="E36" s="20" t="s">
        <v>10</v>
      </c>
      <c r="F36" s="20" t="s">
        <v>11</v>
      </c>
      <c r="G36" s="1"/>
      <c r="H36" s="13"/>
      <c r="I36" s="8"/>
      <c r="J36" s="8"/>
      <c r="K36" s="8"/>
    </row>
    <row r="37" spans="1:11" ht="20.100000000000001" customHeight="1" x14ac:dyDescent="0.3">
      <c r="A37" s="5" t="str">
        <f>HYPERLINK("#'8.1.1.1-2 Transport fuel'!A1", "8.1.1.1-2 Transport fuel")</f>
        <v>8.1.1.1-2 Transport fuel</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HYPERLINK("#'8.2.1.1-2 Stationary fuel'!A1", "8.2.1.1-2 Stationary fuel")</f>
        <v>8.2.1.1-2 Stationary fuel</v>
      </c>
      <c r="C38" s="8"/>
      <c r="D38" s="1" t="str">
        <v>01 Jan 2024 to 31 Dec 2024 (This reporting cycle)</v>
      </c>
      <c r="E38" s="86">
        <f ca="1">IF(ISBLANK($D38), "", IF(ISNUMBER(SEARCH("reporting", $D38)), Result_Enterprise_Method1, "Enter value"))</f>
        <v>2163.8869728956465</v>
      </c>
      <c r="F38" s="86">
        <f ca="1">IF(ISBLANK($D38), "", IF(ISNUMBER(SEARCH("reporting", $D38)), Result_Enterprise_Method2, "Enter value"))</f>
        <v>2162.324809519278</v>
      </c>
      <c r="G38" s="15" t="s">
        <v>7</v>
      </c>
      <c r="H38" s="13"/>
      <c r="I38" s="8"/>
      <c r="J38" s="8"/>
      <c r="K38" s="8"/>
    </row>
    <row r="39" spans="1:11" ht="20.100000000000001" customHeight="1" x14ac:dyDescent="0.3">
      <c r="A39" s="5" t="str">
        <f>HYPERLINK("#'14.1.1-2 Purchased electricity'!A1", "14.1.1-2 Purchased electricity")</f>
        <v>14.1.1-2 Purchased electricity</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HYPERLINK("#'15 Scope 3'!A1", "15 Scope 3")</f>
        <v>15 Scope 3</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HYPERLINK("#'Calcs - Manure sent off-site'!A1", "Calcs - Manure sent off-site")</f>
        <v>Calcs - Manure sent off-site</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HYPERLINK("#'10.1.1-2 Solid waste treatment'!A1", "10.1.1-2 Solid waste treatment")</f>
        <v>10.1.1-2 Solid waste treatment</v>
      </c>
      <c r="C42" s="8"/>
      <c r="D42" s="14" t="s">
        <v>148</v>
      </c>
      <c r="E42" s="19">
        <f ca="1">SUM(E37:E41)</f>
        <v>2163.8869728956465</v>
      </c>
      <c r="F42" s="19">
        <f ca="1">SUM(F37:F41)</f>
        <v>2162.324809519278</v>
      </c>
      <c r="G42" s="1"/>
      <c r="H42" s="1"/>
      <c r="I42" s="1"/>
      <c r="J42" s="8"/>
      <c r="K42" s="8"/>
    </row>
    <row r="43" spans="1:11" ht="20.100000000000001" customHeight="1" x14ac:dyDescent="0.25">
      <c r="C43" s="8"/>
      <c r="D43" s="1"/>
      <c r="E43" s="1"/>
      <c r="F43" s="1"/>
      <c r="G43" s="1"/>
      <c r="H43" s="1"/>
      <c r="I43" s="1"/>
      <c r="J43" s="8"/>
      <c r="K43" s="8"/>
    </row>
    <row r="44" spans="1:11" ht="20.100000000000001" customHeight="1" x14ac:dyDescent="0.25">
      <c r="C44" s="8"/>
      <c r="D44" s="1"/>
      <c r="E44" s="1"/>
      <c r="F44" s="1"/>
      <c r="G44" s="1"/>
      <c r="H44" s="1"/>
      <c r="I44" s="1"/>
      <c r="J44" s="8"/>
      <c r="K44" s="8"/>
    </row>
    <row r="45" spans="1:11" ht="20.100000000000001" customHeight="1" x14ac:dyDescent="0.25">
      <c r="A45" s="94" t="s">
        <v>1</v>
      </c>
      <c r="C45" s="8"/>
      <c r="D45" s="2" t="s">
        <v>145</v>
      </c>
      <c r="E45" s="1"/>
      <c r="F45" s="1"/>
      <c r="G45" s="1"/>
      <c r="H45" s="1"/>
      <c r="I45" s="1"/>
      <c r="J45" s="8"/>
      <c r="K45" s="8"/>
    </row>
    <row r="46" spans="1:11" ht="20.100000000000001" customHeight="1" x14ac:dyDescent="0.25">
      <c r="A46" s="5" t="str">
        <f>HYPERLINK("#'Constants - Pasture Beef'!A1", "Constants - Pasture Beef")</f>
        <v>Constants - Pasture Beef</v>
      </c>
      <c r="C46" s="8"/>
      <c r="D46" s="1"/>
      <c r="E46" s="1"/>
      <c r="F46" s="1"/>
      <c r="G46" s="1"/>
      <c r="H46" s="1"/>
      <c r="I46" s="1"/>
      <c r="J46" s="1"/>
      <c r="K46" s="8"/>
    </row>
    <row r="47" spans="1:11" ht="20.100000000000001" customHeight="1" x14ac:dyDescent="0.25">
      <c r="A47" s="5" t="str">
        <f>HYPERLINK("#'Constants - Ag Residue'!A1", "Constants - Ag residue")</f>
        <v>Constants - Ag residue</v>
      </c>
      <c r="C47" s="8"/>
      <c r="D47" s="20" t="s">
        <v>127</v>
      </c>
      <c r="E47" s="20" t="s">
        <v>146</v>
      </c>
      <c r="F47" s="1"/>
      <c r="G47" s="1"/>
      <c r="H47" s="1"/>
      <c r="I47" s="1"/>
      <c r="J47" s="1"/>
      <c r="K47" s="8"/>
    </row>
    <row r="48" spans="1:11" ht="20.100000000000001" customHeight="1" x14ac:dyDescent="0.25">
      <c r="A48" s="5" t="str">
        <f>HYPERLINK("#'Constants - Common Livestock'!A1", "Constants - Common Livestock")</f>
        <v>Constants - Common Livestock</v>
      </c>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1:11" ht="20.100000000000001" customHeight="1" x14ac:dyDescent="0.25">
      <c r="A49" s="5" t="str">
        <f>HYPERLINK("#'Constants - Electricity'!A1", "Constants - Electricity")</f>
        <v>Constants - Electricity</v>
      </c>
      <c r="C49" s="8"/>
      <c r="D49" s="1" t="str">
        <v>01 Jan 2024 to 31 Dec 2024 (This reporting cycle)</v>
      </c>
      <c r="E49" s="86">
        <v>0.5</v>
      </c>
      <c r="F49" s="15" t="s">
        <v>147</v>
      </c>
      <c r="G49" s="1"/>
      <c r="H49" s="1"/>
      <c r="I49" s="1"/>
      <c r="J49" s="1"/>
      <c r="K49" s="8"/>
    </row>
    <row r="50" spans="1:11" ht="20.100000000000001" customHeight="1" x14ac:dyDescent="0.25">
      <c r="A50" s="5" t="str">
        <f>HYPERLINK("#'Constants - Fertiliser'!A1", "Constants - Fertiliser")</f>
        <v>Constants - Fertiliser</v>
      </c>
      <c r="C50" s="8"/>
      <c r="D50" s="1" t="str">
        <v>01 Jan 2025 to 31 Dec 2025</v>
      </c>
      <c r="E50" s="86" t="s">
        <v>174</v>
      </c>
      <c r="F50" s="15" t="s">
        <v>147</v>
      </c>
      <c r="G50" s="1"/>
      <c r="H50" s="1"/>
      <c r="I50" s="1"/>
      <c r="J50" s="1"/>
      <c r="K50" s="8"/>
    </row>
    <row r="51" spans="1:11" ht="20.100000000000001" customHeight="1" x14ac:dyDescent="0.25">
      <c r="A51" s="5" t="str">
        <f>HYPERLINK("#'Constants - Fuel'!A1", "Constants - Fuel")</f>
        <v>Constants - Fuel</v>
      </c>
      <c r="C51" s="8"/>
      <c r="D51" s="1"/>
      <c r="E51" s="86"/>
      <c r="F51" s="15" t="s">
        <v>147</v>
      </c>
      <c r="G51" s="1"/>
      <c r="H51" s="1"/>
      <c r="I51" s="1"/>
      <c r="J51" s="1"/>
      <c r="K51" s="8"/>
    </row>
    <row r="52" spans="1:11" ht="20.100000000000001" customHeight="1" x14ac:dyDescent="0.25">
      <c r="A52" s="5" t="str">
        <f>HYPERLINK("#'Constants - Scope 3'!A1", "Constants - Scope 3")</f>
        <v>Constants - Scope 3</v>
      </c>
      <c r="C52" s="8"/>
      <c r="D52" s="1"/>
      <c r="E52" s="86"/>
      <c r="F52" s="15" t="s">
        <v>147</v>
      </c>
      <c r="G52" s="1"/>
      <c r="H52" s="1"/>
      <c r="I52" s="8"/>
      <c r="J52" s="8"/>
      <c r="K52" s="8"/>
    </row>
    <row r="53" spans="1:11" ht="20.100000000000001" customHeight="1" x14ac:dyDescent="0.3">
      <c r="A53" s="5" t="str">
        <f>HYPERLINK("#'Constants - Common'!A1", "Constants - Common")</f>
        <v>Constants - Common</v>
      </c>
      <c r="C53" s="8"/>
      <c r="D53" s="14" t="s">
        <v>149</v>
      </c>
      <c r="E53" s="19">
        <f>SUM(E48:E51)</f>
        <v>1.1000000000000001</v>
      </c>
      <c r="F53" s="1"/>
      <c r="G53" s="1"/>
      <c r="H53" s="1"/>
      <c r="I53" s="1"/>
      <c r="J53" s="1"/>
      <c r="K53" s="8"/>
    </row>
    <row r="54" spans="1:11" ht="20.100000000000001" customHeight="1" x14ac:dyDescent="0.25">
      <c r="A54" s="5" t="str">
        <f>HYPERLINK("#'Acknowledgements'!A1", "Acknowledgements")</f>
        <v>Acknowledgements</v>
      </c>
      <c r="C54" s="8"/>
      <c r="D54" s="1"/>
      <c r="E54" s="1"/>
      <c r="F54" s="1"/>
      <c r="G54" s="1"/>
      <c r="H54" s="1"/>
      <c r="I54" s="1"/>
      <c r="J54" s="1"/>
      <c r="K54" s="8"/>
    </row>
    <row r="55" spans="1:11" ht="20.100000000000001" customHeight="1" x14ac:dyDescent="0.25">
      <c r="A55" s="5" t="str">
        <f>HYPERLINK("#'Constants - Solid Waste'!A1", "Constants - Solid Waste")</f>
        <v>Constants - Solid Waste</v>
      </c>
      <c r="C55" s="8"/>
      <c r="D55" s="1"/>
      <c r="E55" s="1"/>
      <c r="F55" s="1"/>
      <c r="G55" s="1"/>
      <c r="H55" s="1"/>
      <c r="I55" s="1"/>
      <c r="J55" s="1"/>
      <c r="K55" s="8"/>
    </row>
    <row r="56" spans="1:11" ht="20.100000000000001" customHeight="1" x14ac:dyDescent="0.25">
      <c r="C56" s="8"/>
      <c r="D56" s="2" t="s">
        <v>130</v>
      </c>
      <c r="E56" s="1"/>
      <c r="F56" s="1"/>
      <c r="G56" s="1"/>
      <c r="H56" s="1"/>
      <c r="I56" s="1"/>
      <c r="J56" s="8"/>
      <c r="K56" s="8"/>
    </row>
    <row r="57" spans="1:11" ht="20.100000000000001" customHeight="1" x14ac:dyDescent="0.25">
      <c r="C57" s="8"/>
      <c r="D57" s="1"/>
      <c r="E57" s="1"/>
      <c r="F57" s="1"/>
      <c r="G57" s="1"/>
      <c r="H57" s="1"/>
      <c r="I57" s="1"/>
      <c r="J57" s="1"/>
      <c r="K57" s="8"/>
    </row>
    <row r="58" spans="1:11" ht="20.100000000000001" customHeight="1" x14ac:dyDescent="0.25">
      <c r="C58" s="8"/>
      <c r="D58" s="20"/>
      <c r="E58" s="20" t="s">
        <v>151</v>
      </c>
      <c r="F58" s="20" t="s">
        <v>152</v>
      </c>
      <c r="G58" s="1"/>
      <c r="H58" s="1"/>
      <c r="I58" s="1"/>
      <c r="J58" s="1"/>
      <c r="K58" s="8"/>
    </row>
    <row r="59" spans="1:11" ht="20.100000000000001" customHeight="1" x14ac:dyDescent="0.3">
      <c r="C59" s="8"/>
      <c r="D59" s="89" t="s">
        <v>150</v>
      </c>
      <c r="E59" s="87">
        <f ca="1">E42-E53</f>
        <v>2162.7869728956466</v>
      </c>
      <c r="F59" s="87">
        <f ca="1">F42-E53</f>
        <v>2161.2248095192781</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20" t="s">
        <v>155</v>
      </c>
      <c r="E61" s="20" t="s">
        <v>139</v>
      </c>
      <c r="F61" s="20" t="s">
        <v>131</v>
      </c>
      <c r="G61" s="20" t="s">
        <v>133</v>
      </c>
      <c r="H61" s="20" t="s">
        <v>137</v>
      </c>
      <c r="I61" s="20" t="s">
        <v>138</v>
      </c>
      <c r="J61" s="20" t="s">
        <v>132</v>
      </c>
      <c r="K61" s="8"/>
    </row>
    <row r="62" spans="1:11" ht="20.100000000000001" customHeight="1" x14ac:dyDescent="0.25">
      <c r="C62" s="8"/>
      <c r="D62" s="1" t="s">
        <v>24</v>
      </c>
      <c r="E62" s="1" t="s">
        <v>140</v>
      </c>
      <c r="F62" s="18">
        <f>'Input - Enterprise'!E22</f>
        <v>5</v>
      </c>
      <c r="G62" s="18">
        <f ca="1">F62/(F62+F63)</f>
        <v>6.0391865213221472E-6</v>
      </c>
      <c r="H62" s="18">
        <f ca="1">($E$42/F62)*G62</f>
        <v>2.6136234080751941E-3</v>
      </c>
      <c r="I62" s="18">
        <f ca="1">($F$42/F62)*G62</f>
        <v>2.6117365688738607E-3</v>
      </c>
      <c r="J62" s="15" t="s">
        <v>135</v>
      </c>
      <c r="K62" s="8"/>
    </row>
    <row r="63" spans="1:11" ht="20.100000000000001" customHeight="1" x14ac:dyDescent="0.25">
      <c r="C63" s="8"/>
      <c r="D63" s="1" t="s">
        <v>134</v>
      </c>
      <c r="E63" s="1" t="s">
        <v>141</v>
      </c>
      <c r="F63" s="18">
        <f ca="1">'Input - Enterprise'!E25*'Input - Enterprise'!E26</f>
        <v>827921.07619367912</v>
      </c>
      <c r="G63" s="18">
        <f ca="1">F63/(F62+F63)</f>
        <v>0.99999396081347869</v>
      </c>
      <c r="H63" s="18">
        <f ca="1">($E$42/F63)*G63</f>
        <v>2.6136234080751945E-3</v>
      </c>
      <c r="I63" s="18">
        <f ca="1">($F$42/F63)*G63</f>
        <v>2.6117365688738607E-3</v>
      </c>
      <c r="J63" s="15" t="s">
        <v>136</v>
      </c>
      <c r="K63" s="8"/>
    </row>
    <row r="64" spans="1:11" ht="20.100000000000001" customHeight="1" x14ac:dyDescent="0.25">
      <c r="C64" s="8"/>
      <c r="D64" s="1" t="s">
        <v>142</v>
      </c>
      <c r="E64" s="1" t="s">
        <v>144</v>
      </c>
      <c r="F64" s="18">
        <f ca="1">'Input - Enterprise'!E25*'Input - Enterprise'!E27</f>
        <v>91.01179696172197</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154.76</v>
      </c>
      <c r="G66" s="18" t="s">
        <v>143</v>
      </c>
      <c r="H66" s="18">
        <f ca="1">E59/F66</f>
        <v>13.97510321074985</v>
      </c>
      <c r="I66" s="18" t="s">
        <v>143</v>
      </c>
      <c r="J66" s="15" t="s">
        <v>156</v>
      </c>
      <c r="K66" s="8"/>
    </row>
    <row r="67" spans="3:11" ht="20.100000000000001" customHeight="1" x14ac:dyDescent="0.25">
      <c r="C67" s="8"/>
      <c r="D67" s="1" t="s">
        <v>154</v>
      </c>
      <c r="E67" s="1" t="s">
        <v>143</v>
      </c>
      <c r="F67" s="18">
        <f>'Input - Enterprise'!E24</f>
        <v>154.86799999999999</v>
      </c>
      <c r="G67" s="18" t="s">
        <v>143</v>
      </c>
      <c r="H67" s="18" t="s">
        <v>143</v>
      </c>
      <c r="I67" s="18">
        <f ca="1">F59/F67</f>
        <v>13.955270356169629</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5"/>
  <sheetViews>
    <sheetView showGridLines="0" topLeftCell="A16" workbookViewId="0" zoomScale="100" zoomScaleNormal="100">
      <selection activeCell="A55" sqref="A5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98</v>
      </c>
      <c r="E5" s="35"/>
      <c r="F5" s="35"/>
      <c r="G5" s="35"/>
    </row>
    <row r="6" spans="1:10" x14ac:dyDescent="0.25">
      <c r="D6" s="42"/>
      <c r="E6" s="35"/>
      <c r="F6" s="35"/>
      <c r="G6" s="35"/>
    </row>
    <row r="7" spans="1:10" x14ac:dyDescent="0.25">
      <c r="D7" s="1" t="s">
        <v>99</v>
      </c>
      <c r="E7" s="44" t="s">
        <v>100</v>
      </c>
      <c r="F7" s="26"/>
      <c r="G7" s="35"/>
    </row>
    <row r="8" spans="1:10" x14ac:dyDescent="0.25">
      <c r="A8" s="7" t="s">
        <v>0</v>
      </c>
      <c r="D8" s="22" t="s">
        <v>101</v>
      </c>
      <c r="E8" s="44" t="s">
        <v>102</v>
      </c>
      <c r="F8" s="35"/>
      <c r="G8" s="35"/>
    </row>
    <row r="9" spans="1:10" x14ac:dyDescent="0.25">
      <c r="A9" s="92" t="str">
        <f>HYPERLINK("#'Input - Enterprise'!A1", "Enterprise")</f>
        <v>Enterprise</v>
      </c>
      <c r="D9" s="35"/>
      <c r="E9" s="35"/>
      <c r="F9" s="35"/>
      <c r="G9" s="35"/>
    </row>
    <row r="10" spans="1:10" x14ac:dyDescent="0.25">
      <c r="A10" s="5" t="str">
        <f>HYPERLINK("#'Input - Site'!A1", "Site")</f>
        <v>Site</v>
      </c>
      <c r="D10" s="46" t="s">
        <v>103</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21</v>
      </c>
      <c r="E12" s="24">
        <v>45292</v>
      </c>
      <c r="F12" s="26" t="s">
        <v>104</v>
      </c>
      <c r="G12" s="35"/>
    </row>
    <row r="13" spans="1:10" x14ac:dyDescent="0.25">
      <c r="A13" s="5" t="str">
        <f>HYPERLINK("#'Input - Pasture'!A1", "Pasture")</f>
        <v>Pasture</v>
      </c>
      <c r="D13" s="22" t="s">
        <v>22</v>
      </c>
      <c r="E13" s="51">
        <f>DATE(YEAR(E12)+1,MONTH(E12),DAY(E12))-1</f>
        <v>45657</v>
      </c>
      <c r="F13" s="26" t="s">
        <v>105</v>
      </c>
      <c r="G13" s="35"/>
    </row>
    <row r="14" spans="1:10" x14ac:dyDescent="0.25">
      <c r="A14" s="5" t="str">
        <f>HYPERLINK("#'Input - Fertiliser'!A1", "Fertiliser")</f>
        <v>Fertiliser</v>
      </c>
      <c r="F14" s="35"/>
      <c r="G14" s="35"/>
    </row>
    <row r="15" spans="1:10" x14ac:dyDescent="0.25">
      <c r="A15" s="5" t="str">
        <f>HYPERLINK("#'Input - Fuel'!A1", "Fuel")</f>
        <v>Fuel</v>
      </c>
    </row>
    <row r="16" spans="1:10" ht="23.25" x14ac:dyDescent="0.25">
      <c r="A16" s="5" t="str">
        <f>HYPERLINK("#'Input - Electricity'!A1", "Electricity")</f>
        <v>Electricity</v>
      </c>
      <c r="D16" s="2" t="s">
        <v>23</v>
      </c>
    </row>
    <row r="17" spans="1:7" x14ac:dyDescent="0.25">
      <c r="A17" s="5" t="str">
        <f>HYPERLINK("#'Input - Farm Inputs'!A1", "Farm Inputs")</f>
        <v>Farm Inputs</v>
      </c>
    </row>
    <row r="18" spans="1:7" x14ac:dyDescent="0.25">
      <c r="A18" s="5" t="str">
        <f>HYPERLINK("#'Input - Freight'!A1", "Freight")</f>
        <v>Freight</v>
      </c>
      <c r="D18" s="1" t="s">
        <v>18</v>
      </c>
      <c r="E18" s="24">
        <v>45231</v>
      </c>
      <c r="F18" s="26" t="s">
        <v>104</v>
      </c>
    </row>
    <row r="19" spans="1:7" x14ac:dyDescent="0.25">
      <c r="A19" s="5" t="str">
        <f>HYPERLINK("#'Input - Manure sent off-site'!A1", "Manure sent off-site")</f>
        <v>Manure sent off-site</v>
      </c>
      <c r="D19" s="1" t="s">
        <v>19</v>
      </c>
      <c r="E19" s="24">
        <v>45747</v>
      </c>
      <c r="F19" s="26" t="s">
        <v>104</v>
      </c>
    </row>
    <row r="20" spans="1:7" x14ac:dyDescent="0.25">
      <c r="A20" s="5" t="str">
        <f>HYPERLINK("#'Input - Solid waste'!A1", "Solid waste")</f>
        <v>Solid waste</v>
      </c>
      <c r="D20" s="1" t="s">
        <v>20</v>
      </c>
      <c r="E20" s="25">
        <f>DATEDIF(E18,E19+1,"m")</f>
        <v>17</v>
      </c>
      <c r="F20" s="26" t="s">
        <v>129</v>
      </c>
    </row>
    <row r="22" spans="1:7" x14ac:dyDescent="0.25">
      <c r="D22" s="1" t="s">
        <v>24</v>
      </c>
      <c r="E22" s="90">
        <f>SUM(Table_Input_LivestockSales[Total liveweight sold])*10^-3</f>
        <v>5</v>
      </c>
      <c r="G22" s="26" t="s">
        <v>30</v>
      </c>
    </row>
    <row r="23" spans="1:7" x14ac:dyDescent="0.25">
      <c r="A23" s="6" t="s">
        <v>2</v>
      </c>
      <c r="D23" s="1" t="s">
        <v>25</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30</v>
      </c>
    </row>
    <row r="24" spans="1:7" x14ac:dyDescent="0.25">
      <c r="A24" s="5" t="str">
        <f>HYPERLINK("#'3.2.1.1-2 Enteric Methane'!A1", "3.2.1.1-2 Enteric methane")</f>
        <v>3.2.1.1-2 Enteric methane</v>
      </c>
      <c r="D24" s="1" t="s">
        <v>26</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30</v>
      </c>
    </row>
    <row r="25" spans="1:7" x14ac:dyDescent="0.25">
      <c r="A25" s="5" t="str">
        <f>HYPERLINK("#'4.2.1.1-2 Methane'!A1", "4.2.1.1-2 Manure methane")</f>
        <v>4.2.1.1-2 Manure methane</v>
      </c>
      <c r="D25" s="1" t="s">
        <v>177</v>
      </c>
      <c r="E25" s="90">
        <f ca="1">SUM(Enterprise_PastureBeef_InputFunctions.multiplyCorrespondingCells('Input - Pasture Beef'!X_Table_PastureBeef_Head_Method1, 'Input - Pasture Beef'!X_Table_PastureBeef_Duration_Method1, '4.2.1.1-2 Methane'!M1_Table_VS_j_k_l))*10^-3</f>
        <v>910.11796961721961</v>
      </c>
      <c r="G25" s="26" t="s">
        <v>30</v>
      </c>
    </row>
    <row r="26" spans="1:7" x14ac:dyDescent="0.25">
      <c r="A26" s="5" t="str">
        <f>HYPERLINK("#'4.2.1.3-4 Soil direct N20'!A1", "4.2.1.3-4 Soil direct N2O")</f>
        <v>4.2.1.3-4 Soil direct N2O</v>
      </c>
      <c r="D26" s="1" t="s">
        <v>178</v>
      </c>
      <c r="E26" s="90">
        <f ca="1">SUM(Enterprise_PastureBeef_InputFunctions.multiplyCorrespondingCells('Input - Pasture Beef'!X_Table_PastureBeef_Head_Method2, 'Input - Pasture Beef'!X_Table_PastureBeef_Duration_Method2, M2_Table_VS_j_k_l))*10^-3</f>
        <v>909.68545159248845</v>
      </c>
      <c r="G26" s="26" t="s">
        <v>30</v>
      </c>
    </row>
    <row r="27" spans="1:7" x14ac:dyDescent="0.25">
      <c r="A27" s="5" t="str">
        <f>HYPERLINK("#'4.2.1.5-6 Soil Atmos Dep'!A1", "4.2.1.5-6 Soil atm. deposition")</f>
        <v>4.2.1.5-6 Soil atm. deposition</v>
      </c>
      <c r="D27" s="1" t="s">
        <v>27</v>
      </c>
      <c r="E27" s="28">
        <v>0.1</v>
      </c>
      <c r="G27" s="26" t="s">
        <v>176</v>
      </c>
    </row>
    <row r="28" spans="1:7" x14ac:dyDescent="0.25">
      <c r="A28" s="5" t="str">
        <f>HYPERLINK("#'4.2.1.7-8 Soil leach runoff'!A1", "4.2.1.7-8 Soil leach &amp; runoff")</f>
        <v>4.2.1.7-8 Soil leach &amp; runoff</v>
      </c>
      <c r="D28" s="1" t="s">
        <v>28</v>
      </c>
      <c r="E28" s="28">
        <v>0.2</v>
      </c>
      <c r="G28" s="26" t="s">
        <v>176</v>
      </c>
    </row>
    <row r="29" spans="1:7" x14ac:dyDescent="0.25">
      <c r="A29" s="5" t="str">
        <f>HYPERLINK("#'5.1.1.1-2 Inorganic fert N2O'!A1", "5.1.1.1-2 Inorganic fert N2O")</f>
        <v>5.1.1.1-2 Inorganic fert N2O</v>
      </c>
      <c r="D29" s="1" t="s">
        <v>29</v>
      </c>
      <c r="E29" s="29">
        <f>100%-E27-E28</f>
        <v>0.7</v>
      </c>
      <c r="G29" s="26" t="s">
        <v>176</v>
      </c>
    </row>
    <row r="30" spans="1:7" x14ac:dyDescent="0.25">
      <c r="A30" s="5" t="str">
        <f>HYPERLINK("#'5.1.1.3-4 Inorganic fert CO2'!A1", "5.1.1.3-4 Inorganic fert CO2")</f>
        <v>5.1.1.3-4 Inorganic fert CO2</v>
      </c>
    </row>
    <row r="31" spans="1:7" x14ac:dyDescent="0.25">
      <c r="A31" s="5" t="str">
        <f>HYPERLINK("#'5.2.1.1-2 Organic Fert N2O'!A1", "5.2.1.1-2 Organic fert N2O")</f>
        <v>5.2.1.1-2 Organic fert N2O</v>
      </c>
      <c r="D31" s="1" t="s">
        <v>179</v>
      </c>
      <c r="E31" s="28">
        <v>0.8</v>
      </c>
      <c r="G31" s="26" t="s">
        <v>176</v>
      </c>
    </row>
    <row r="32" spans="1:7" x14ac:dyDescent="0.25">
      <c r="A32" s="5" t="str">
        <f>HYPERLINK("#'5.3.1.1-2 Lime CO2'!A1", "5.3.1.1-2 Lime CO2")</f>
        <v>5.3.1.1-2 Lime CO2</v>
      </c>
      <c r="D32" s="1" t="s">
        <v>180</v>
      </c>
      <c r="E32" s="28">
        <v>0.2</v>
      </c>
      <c r="G32" s="26" t="s">
        <v>176</v>
      </c>
    </row>
    <row r="33" spans="1:1" x14ac:dyDescent="0.25">
      <c r="A33" s="5" t="str">
        <f>HYPERLINK("#'5.4.1.1-4 Atmos deposition'!A1", "5.4.1.1-4 Atmos. deposition")</f>
        <v>5.4.1.1-4 Atmos. deposition</v>
      </c>
    </row>
    <row r="34" spans="1:1" x14ac:dyDescent="0.25">
      <c r="A34" s="5" t="str">
        <f>HYPERLINK("#'5.5.1.1-2 Leaching and runoff'!A1", "5.5.1.1-2 Leaching &amp; runoff")</f>
        <v>5.5.1.1-2 Leaching &amp; runoff</v>
      </c>
    </row>
    <row r="35" spans="1:1" x14ac:dyDescent="0.25">
      <c r="A35" s="5" t="str">
        <f>HYPERLINK("#'6.2.1.1-2 Pasture residue N2O'!A1", "6.2.1.1-2 Pasture residue N2O")</f>
        <v>6.2.1.1-2 Pasture residue N2O</v>
      </c>
    </row>
    <row r="36" spans="1:1" x14ac:dyDescent="0.25">
      <c r="A36" s="5" t="str">
        <f>HYPERLINK("#'6.3.1.1-2 Leach runoff pasture'!A1", "6.3.1.1-2 Leach &amp; runoff (pasture)")</f>
        <v>6.3.1.1-2 Leach &amp; runoff (pasture)</v>
      </c>
    </row>
    <row r="37" spans="1:1" x14ac:dyDescent="0.25">
      <c r="A37" s="5" t="str">
        <f>HYPERLINK("#'8.1.1.1-2 Transport fuel'!A1", "8.1.1.1-2 Transport fuel")</f>
        <v>8.1.1.1-2 Transport fuel</v>
      </c>
    </row>
    <row r="38" spans="1:1" x14ac:dyDescent="0.25">
      <c r="A38" s="5" t="str">
        <f>HYPERLINK("#'8.2.1.1-2 Stationary fuel'!A1", "8.2.1.1-2 Stationary fuel")</f>
        <v>8.2.1.1-2 Stationary fuel</v>
      </c>
    </row>
    <row r="39" spans="1:1" x14ac:dyDescent="0.25">
      <c r="A39" s="5" t="str">
        <f>HYPERLINK("#'14.1.1-2 Purchased electricity'!A1", "14.1.1-2 Purchased electricity")</f>
        <v>14.1.1-2 Purchased electricity</v>
      </c>
    </row>
    <row r="40" spans="1:1" x14ac:dyDescent="0.25">
      <c r="A40" s="5" t="str">
        <f>HYPERLINK("#'15 Scope 3'!A1", "15 Scope 3")</f>
        <v>15 Scope 3</v>
      </c>
    </row>
    <row r="41" spans="1:1" x14ac:dyDescent="0.25">
      <c r="A41" s="5" t="str">
        <f>HYPERLINK("#'Calcs - Manure sent off-site'!A1", "Calcs - Manure sent off-site")</f>
        <v>Calcs - Manure sent off-site</v>
      </c>
    </row>
    <row r="42" spans="1:1" x14ac:dyDescent="0.25">
      <c r="A42" s="5" t="str">
        <f>HYPERLINK("#'10.1.1-2 Solid waste treatment'!A1", "10.1.1-2 Solid waste treatment")</f>
        <v>10.1.1-2 Solid waste treatment</v>
      </c>
    </row>
    <row r="45" spans="1:1" x14ac:dyDescent="0.25">
      <c r="A45" s="94" t="s">
        <v>1</v>
      </c>
    </row>
    <row r="46" spans="1:1" x14ac:dyDescent="0.25">
      <c r="A46" s="5" t="str">
        <f>HYPERLINK("#'Constants - Pasture Beef'!A1", "Constants - Pasture Beef")</f>
        <v>Constants - Pasture Beef</v>
      </c>
    </row>
    <row r="47" spans="1:1" x14ac:dyDescent="0.25">
      <c r="A47" s="5" t="str">
        <f>HYPERLINK("#'Constants - Ag Residue'!A1", "Constants - Ag residue")</f>
        <v>Constants - Ag residue</v>
      </c>
    </row>
    <row r="48" spans="1:1"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Common'!A1", "Constants - Common")</f>
        <v>Constants - Common</v>
      </c>
    </row>
    <row r="54" spans="1:1" x14ac:dyDescent="0.25">
      <c r="A54" s="5" t="str">
        <f>HYPERLINK("#'Acknowledgements'!A1", "Acknowledgements")</f>
        <v>Acknowledgements</v>
      </c>
    </row>
    <row r="55" spans="1:1" x14ac:dyDescent="0.25">
      <c r="A55"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55" sqref="A55"/>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106</v>
      </c>
      <c r="N5" s="41"/>
    </row>
    <row r="6" spans="1:24" ht="20.100000000000001" customHeight="1" x14ac:dyDescent="0.25">
      <c r="A6"/>
      <c r="N6" s="43"/>
    </row>
    <row r="7" spans="1:24" ht="20.100000000000001" customHeight="1" x14ac:dyDescent="0.25">
      <c r="A7"/>
      <c r="D7" s="53" t="s">
        <v>107</v>
      </c>
      <c r="E7" s="54"/>
      <c r="F7" s="54"/>
      <c r="G7" s="55"/>
    </row>
    <row r="8" spans="1:24" ht="20.100000000000001" customHeight="1" x14ac:dyDescent="0.25">
      <c r="A8" s="7" t="s">
        <v>0</v>
      </c>
      <c r="D8" s="56" t="s">
        <v>108</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2" t="str">
        <f>HYPERLINK("#'Input - Site'!A1", "Site")</f>
        <v>Site</v>
      </c>
      <c r="D10" s="1" t="s">
        <v>109</v>
      </c>
      <c r="E10" s="23" t="s">
        <v>110</v>
      </c>
      <c r="F10" s="26" t="s">
        <v>111</v>
      </c>
      <c r="N10" s="45"/>
    </row>
    <row r="11" spans="1:24" ht="20.100000000000001" customHeight="1" x14ac:dyDescent="0.25">
      <c r="A11" s="5" t="str">
        <f>HYPERLINK("#'Input - Pasture Beef'!A1", "Pasture Beef")</f>
        <v>Pasture Beef</v>
      </c>
      <c r="D11" s="1" t="s">
        <v>112</v>
      </c>
      <c r="E11" s="23" t="s">
        <v>113</v>
      </c>
      <c r="F11" s="26" t="s">
        <v>111</v>
      </c>
      <c r="G11" s="1"/>
      <c r="N11" s="50"/>
    </row>
    <row r="12" spans="1:24" ht="20.100000000000001" customHeight="1" x14ac:dyDescent="0.25">
      <c r="A12" s="5" t="str">
        <f>HYPERLINK("#'Input - Pasture Beef (Enteric)'!A1", "Pasture Beef (Enteric)")</f>
        <v>Pasture Beef (Enteric)</v>
      </c>
      <c r="D12" s="1" t="s">
        <v>114</v>
      </c>
      <c r="E12" s="23" t="s">
        <v>115</v>
      </c>
      <c r="F12" s="26" t="s">
        <v>111</v>
      </c>
    </row>
    <row r="13" spans="1:24" ht="20.100000000000001" customHeight="1" x14ac:dyDescent="0.25">
      <c r="A13" s="5" t="str">
        <f>HYPERLINK("#'Input - Pasture'!A1", "Pasture")</f>
        <v>Pasture</v>
      </c>
      <c r="D13" s="1" t="s">
        <v>47</v>
      </c>
      <c r="E13" s="44">
        <v>307.7</v>
      </c>
      <c r="F13" s="26" t="s">
        <v>116</v>
      </c>
      <c r="N13" s="52"/>
      <c r="O13" s="52"/>
    </row>
    <row r="14" spans="1:24" ht="20.100000000000001" customHeight="1" x14ac:dyDescent="0.25">
      <c r="A14" s="5" t="str">
        <f>HYPERLINK("#'Input - Fertiliser'!A1", "Fertiliser")</f>
        <v>Fertiliser</v>
      </c>
      <c r="D14" s="1" t="s">
        <v>117</v>
      </c>
      <c r="E14" s="44">
        <v>18</v>
      </c>
      <c r="F14" s="26" t="s">
        <v>118</v>
      </c>
      <c r="N14" s="52"/>
      <c r="O14" s="52"/>
    </row>
    <row r="15" spans="1:24" ht="20.100000000000001" customHeight="1" x14ac:dyDescent="0.25">
      <c r="A15" s="5" t="str">
        <f>HYPERLINK("#'Input - Fuel'!A1", "Fuel")</f>
        <v>Fuel</v>
      </c>
      <c r="D15" s="1" t="s">
        <v>119</v>
      </c>
      <c r="E15" s="44">
        <v>601</v>
      </c>
      <c r="F15" s="26" t="s">
        <v>120</v>
      </c>
      <c r="N15" s="52"/>
      <c r="O15" s="52"/>
    </row>
    <row r="16" spans="1:24" ht="20.100000000000001" customHeight="1" x14ac:dyDescent="0.25">
      <c r="A16" s="5" t="str">
        <f>HYPERLINK("#'Input - Electricity'!A1", "Electricity")</f>
        <v>Electricity</v>
      </c>
      <c r="D16" s="22" t="s">
        <v>121</v>
      </c>
      <c r="E16" s="44">
        <v>1326</v>
      </c>
      <c r="F16" s="26" t="s">
        <v>120</v>
      </c>
      <c r="N16" s="52"/>
      <c r="O16" s="52"/>
    </row>
    <row r="17" spans="1:25" ht="20.100000000000001" customHeight="1" x14ac:dyDescent="0.25">
      <c r="A17" s="5" t="str">
        <f>HYPERLINK("#'Input - Farm Inputs'!A1", "Farm Inputs")</f>
        <v>Farm Inputs</v>
      </c>
      <c r="D17" s="1" t="s">
        <v>122</v>
      </c>
      <c r="E17" s="44">
        <v>7</v>
      </c>
      <c r="F17" s="26" t="s">
        <v>123</v>
      </c>
    </row>
    <row r="18" spans="1:25" ht="20.100000000000001" customHeight="1" x14ac:dyDescent="0.25">
      <c r="A18" s="5" t="str">
        <f>HYPERLINK("#'Input - Freight'!A1", "Freight")</f>
        <v>Freight</v>
      </c>
      <c r="D18" s="22" t="s">
        <v>124</v>
      </c>
      <c r="E18" s="25">
        <f>E15/E16</f>
        <v>0.45324283559577677</v>
      </c>
      <c r="F18" s="26"/>
    </row>
    <row r="19" spans="1:25" ht="20.100000000000001" customHeight="1" x14ac:dyDescent="0.25">
      <c r="A19" s="5" t="str">
        <f>HYPERLINK("#'Input - Manure sent off-site'!A1", "Manure sent off-site")</f>
        <v>Manure sent off-site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Solid waste'!A1", "Solid waste")</f>
        <v>Solid waste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6" t="s">
        <v>2</v>
      </c>
    </row>
    <row r="24" spans="1:25" ht="20.100000000000001" customHeight="1" x14ac:dyDescent="0.25">
      <c r="A24" s="5" t="str">
        <f>HYPERLINK("#'3.2.1.1-2 Enteric Methane'!A1", "3.2.1.1-2 Enteric methane")</f>
        <v>3.2.1.1-2 Enteric methane</v>
      </c>
    </row>
    <row r="25" spans="1:25" ht="20.100000000000001" customHeight="1" x14ac:dyDescent="0.25">
      <c r="A25" s="5" t="str">
        <f>HYPERLINK("#'4.2.1.1-2 Methane'!A1", "4.2.1.1-2 Manure methane")</f>
        <v>4.2.1.1-2 Manure methane</v>
      </c>
      <c r="N25" s="43"/>
    </row>
    <row r="26" spans="1:25" ht="20.100000000000001" customHeight="1" x14ac:dyDescent="0.25">
      <c r="A26" s="5" t="str">
        <f>HYPERLINK("#'4.2.1.3-4 Soil direct N20'!A1", "4.2.1.3-4 Soil direct N2O")</f>
        <v>4.2.1.3-4 Soil direct N2O</v>
      </c>
    </row>
    <row r="27" spans="1:25" ht="20.100000000000001" customHeight="1" x14ac:dyDescent="0.25">
      <c r="A27" s="5" t="str">
        <f>HYPERLINK("#'4.2.1.5-6 Soil Atmos Dep'!A1", "4.2.1.5-6 Soil atm. deposition")</f>
        <v>4.2.1.5-6 Soil atm. deposition</v>
      </c>
    </row>
    <row r="28" spans="1:25" ht="20.100000000000001" customHeight="1" x14ac:dyDescent="0.25">
      <c r="A28" s="5" t="str">
        <f>HYPERLINK("#'4.2.1.7-8 Soil leach runoff'!A1", "4.2.1.7-8 Soil leach &amp; runoff")</f>
        <v>4.2.1.7-8 Soil leach &amp; runoff</v>
      </c>
    </row>
    <row r="29" spans="1:25" ht="20.100000000000001" customHeight="1" x14ac:dyDescent="0.25">
      <c r="A29" s="5" t="str">
        <f>HYPERLINK("#'5.1.1.1-2 Inorganic fert N2O'!A1", "5.1.1.1-2 Inorganic fert N2O")</f>
        <v>5.1.1.1-2 Inorganic fert N2O</v>
      </c>
    </row>
    <row r="30" spans="1:25" ht="20.100000000000001" customHeight="1" x14ac:dyDescent="0.25">
      <c r="A30" s="5" t="str">
        <f>HYPERLINK("#'5.1.1.3-4 Inorganic fert CO2'!A1", "5.1.1.3-4 Inorganic fert CO2")</f>
        <v>5.1.1.3-4 Inorganic fert CO2</v>
      </c>
      <c r="L30" s="61"/>
      <c r="M30" s="61"/>
      <c r="N30" s="61"/>
      <c r="O30" s="61"/>
      <c r="P30" s="61"/>
      <c r="Q30" s="61"/>
      <c r="R30" s="61"/>
      <c r="S30" s="61"/>
      <c r="T30" s="61"/>
      <c r="U30" s="61"/>
      <c r="V30" s="61"/>
      <c r="W30" s="61"/>
      <c r="X30" s="61"/>
      <c r="Y30" s="61"/>
    </row>
    <row r="31" spans="1:25" ht="20.100000000000001" customHeight="1" x14ac:dyDescent="0.25">
      <c r="A31" s="5" t="str">
        <f>HYPERLINK("#'5.2.1.1-2 Organic Fert N2O'!A1", "5.2.1.1-2 Organic fert N2O")</f>
        <v>5.2.1.1-2 Organic fert N2O</v>
      </c>
      <c r="L31" s="62"/>
      <c r="M31" s="62"/>
      <c r="N31" s="62"/>
      <c r="O31" s="62"/>
      <c r="P31" s="62"/>
      <c r="Q31" s="62"/>
      <c r="R31" s="62"/>
      <c r="S31" s="62"/>
      <c r="T31" s="62"/>
      <c r="U31" s="62"/>
      <c r="V31" s="62"/>
      <c r="W31" s="62"/>
      <c r="X31" s="62"/>
      <c r="Y31" s="62"/>
    </row>
    <row r="32" spans="1:25" ht="20.100000000000001" customHeight="1" x14ac:dyDescent="0.25">
      <c r="A32" s="5" t="str">
        <f>HYPERLINK("#'5.3.1.1-2 Lime CO2'!A1", "5.3.1.1-2 Lime CO2")</f>
        <v>5.3.1.1-2 Lime CO2</v>
      </c>
      <c r="L32" s="62"/>
      <c r="M32" s="62"/>
      <c r="N32" s="62"/>
      <c r="O32" s="62"/>
      <c r="P32" s="62"/>
      <c r="Q32" s="62"/>
      <c r="R32" s="62"/>
      <c r="S32" s="62"/>
      <c r="T32" s="62"/>
      <c r="U32" s="62"/>
      <c r="V32" s="62"/>
      <c r="W32" s="62"/>
      <c r="X32" s="62"/>
      <c r="Y32" s="62"/>
    </row>
    <row r="33" spans="1:25" ht="20.100000000000001" customHeight="1" x14ac:dyDescent="0.25">
      <c r="A33" s="5" t="str">
        <f>HYPERLINK("#'5.4.1.1-4 Atmos deposition'!A1", "5.4.1.1-4 Atmos. deposition")</f>
        <v>5.4.1.1-4 Atmos. deposition</v>
      </c>
      <c r="L33" s="62"/>
      <c r="M33" s="62"/>
      <c r="N33" s="62"/>
      <c r="O33" s="62"/>
      <c r="P33" s="62"/>
      <c r="Q33" s="62"/>
      <c r="R33" s="62"/>
      <c r="S33" s="62"/>
      <c r="T33" s="62"/>
      <c r="U33" s="62"/>
      <c r="V33" s="62"/>
      <c r="W33" s="62"/>
      <c r="X33" s="62"/>
      <c r="Y33" s="62"/>
    </row>
    <row r="34" spans="1:25" ht="20.100000000000001" customHeight="1" x14ac:dyDescent="0.25">
      <c r="A34" s="5" t="str">
        <f>HYPERLINK("#'5.5.1.1-2 Leaching and runoff'!A1", "5.5.1.1-2 Leaching &amp; runoff")</f>
        <v>5.5.1.1-2 Leaching &amp; runoff</v>
      </c>
      <c r="J34" s="64"/>
      <c r="K34" s="65"/>
      <c r="L34" s="62"/>
      <c r="M34" s="62"/>
      <c r="N34" s="62"/>
      <c r="O34" s="62"/>
      <c r="P34" s="62"/>
      <c r="Q34" s="62"/>
      <c r="R34" s="62"/>
      <c r="S34" s="62"/>
      <c r="T34" s="62"/>
      <c r="U34" s="62"/>
      <c r="V34" s="62"/>
      <c r="W34" s="62"/>
      <c r="X34" s="62"/>
      <c r="Y34" s="62"/>
    </row>
    <row r="35" spans="1:25" ht="20.100000000000001" customHeight="1" x14ac:dyDescent="0.25">
      <c r="A35" s="5" t="str">
        <f>HYPERLINK("#'6.2.1.1-2 Pasture residue N2O'!A1", "6.2.1.1-2 Pasture residue N2O")</f>
        <v>6.2.1.1-2 Pasture residue N2O</v>
      </c>
      <c r="J35" s="64"/>
      <c r="K35" s="65"/>
      <c r="L35" s="62"/>
      <c r="M35" s="62"/>
      <c r="N35" s="62"/>
      <c r="O35" s="62"/>
      <c r="P35" s="62"/>
      <c r="Q35" s="62"/>
      <c r="R35" s="62"/>
      <c r="S35" s="62"/>
      <c r="T35" s="62"/>
      <c r="U35" s="62"/>
      <c r="V35" s="62"/>
      <c r="W35" s="62"/>
      <c r="X35" s="62"/>
      <c r="Y35" s="62"/>
    </row>
    <row r="36" spans="1:25" ht="20.100000000000001" customHeight="1" x14ac:dyDescent="0.25">
      <c r="A36" s="5" t="str">
        <f>HYPERLINK("#'6.3.1.1-2 Leach runoff pasture'!A1", "6.3.1.1-2 Leach &amp; runoff (pasture)")</f>
        <v>6.3.1.1-2 Leach &amp; runoff (pasture)</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HYPERLINK("#'8.1.1.1-2 Transport fuel'!A1", "8.1.1.1-2 Transport fuel")</f>
        <v>8.1.1.1-2 Transport fuel</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HYPERLINK("#'8.2.1.1-2 Stationary fuel'!A1", "8.2.1.1-2 Stationary fuel")</f>
        <v>8.2.1.1-2 Stationary fuel</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HYPERLINK("#'14.1.1-2 Purchased electricity'!A1", "14.1.1-2 Purchased electricity")</f>
        <v>14.1.1-2 Purchased electricity</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HYPERLINK("#'15 Scope 3'!A1", "15 Scope 3")</f>
        <v>15 Scope 3</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HYPERLINK("#'Calcs - Manure sent off-site'!A1", "Calcs - Manure sent off-site")</f>
        <v>Calcs - Manure sent off-site</v>
      </c>
    </row>
    <row r="42" spans="1:25" ht="20.100000000000001" customHeight="1" x14ac:dyDescent="0.25">
      <c r="A42" s="5" t="str">
        <f>HYPERLINK("#'10.1.1-2 Solid waste treatment'!A1", "10.1.1-2 Solid waste treatment")</f>
        <v>10.1.1-2 Solid waste treatment</v>
      </c>
    </row>
    <row r="43" spans="1:25" ht="20.100000000000001" customHeight="1" x14ac:dyDescent="0.25">
      <c r="A43"/>
    </row>
    <row r="44" spans="1:25" ht="20.100000000000001" customHeight="1" x14ac:dyDescent="0.25">
      <c r="A44"/>
    </row>
    <row r="45" spans="1:25" ht="20.100000000000001" customHeight="1" x14ac:dyDescent="0.25">
      <c r="A45" s="94" t="s">
        <v>1</v>
      </c>
      <c r="D45" s="2"/>
    </row>
    <row r="46" spans="1:25" ht="20.100000000000001" customHeight="1" x14ac:dyDescent="0.25">
      <c r="A46" s="5" t="str">
        <f>HYPERLINK("#'Constants - Pasture Beef'!A1", "Constants - Pasture Beef")</f>
        <v>Constants - Pasture Beef</v>
      </c>
      <c r="D46" s="2"/>
    </row>
    <row r="47" spans="1:25" ht="20.100000000000001" customHeight="1" x14ac:dyDescent="0.25">
      <c r="A47" s="5" t="str">
        <f>HYPERLINK("#'Constants - Ag Residue'!A1", "Constants - Ag residue")</f>
        <v>Constants - Ag residue</v>
      </c>
      <c r="D47" s="73"/>
      <c r="E47" s="73"/>
      <c r="F47" s="73"/>
      <c r="G47" s="73"/>
      <c r="H47" s="73"/>
    </row>
    <row r="48" spans="1:25" ht="20.100000000000001" customHeight="1" x14ac:dyDescent="0.25">
      <c r="A48" s="5" t="str">
        <f>HYPERLINK("#'Constants - Common Livestock'!A1", "Constants - Common Livestock")</f>
        <v>Constants - Common Livestock</v>
      </c>
      <c r="D48" s="74"/>
      <c r="E48" s="74"/>
      <c r="F48" s="75"/>
      <c r="G48" s="75"/>
      <c r="H48" s="74"/>
    </row>
    <row r="49" spans="1:8" ht="20.100000000000001" customHeight="1" x14ac:dyDescent="0.25">
      <c r="A49" s="5" t="str">
        <f>HYPERLINK("#'Constants - Electricity'!A1", "Constants - Electricity")</f>
        <v>Constants - Electricity</v>
      </c>
      <c r="D49" s="74"/>
      <c r="E49" s="74"/>
      <c r="F49" s="75"/>
      <c r="G49" s="75"/>
      <c r="H49" s="74"/>
    </row>
    <row r="50" spans="1:8" ht="20.100000000000001" customHeight="1" x14ac:dyDescent="0.25">
      <c r="A50" s="5" t="str">
        <f>HYPERLINK("#'Constants - Fertiliser'!A1", "Constants - Fertiliser")</f>
        <v>Constants - Fertiliser</v>
      </c>
      <c r="D50" s="74"/>
      <c r="E50" s="74"/>
      <c r="F50" s="75"/>
      <c r="G50" s="75"/>
      <c r="H50" s="74"/>
    </row>
    <row r="51" spans="1:8" ht="20.100000000000001" customHeight="1" x14ac:dyDescent="0.25">
      <c r="A51" s="5" t="str">
        <f>HYPERLINK("#'Constants - Fuel'!A1", "Constants - Fuel")</f>
        <v>Constants - Fuel</v>
      </c>
      <c r="D51" s="76"/>
      <c r="E51" s="77"/>
      <c r="F51" s="77"/>
      <c r="G51" s="77"/>
      <c r="H51" s="78"/>
    </row>
    <row r="52" spans="1:8" ht="20.100000000000001" customHeight="1" x14ac:dyDescent="0.25">
      <c r="A52" s="5" t="str">
        <f>HYPERLINK("#'Constants - Scope 3'!A1", "Constants - Scope 3")</f>
        <v>Constants - Scope 3</v>
      </c>
    </row>
    <row r="53" spans="1:8" ht="20.100000000000001" customHeight="1" x14ac:dyDescent="0.25">
      <c r="A53" s="5" t="str">
        <f>HYPERLINK("#'Constants - Common'!A1", "Constants - Common")</f>
        <v>Constants - Common</v>
      </c>
    </row>
    <row r="54" spans="1:8" ht="20.100000000000001" customHeight="1" x14ac:dyDescent="0.25">
      <c r="A54" s="5" t="str">
        <f>HYPERLINK("#'Acknowledgements'!A1", "Acknowledgements")</f>
        <v>Acknowledgements</v>
      </c>
      <c r="G54" s="79"/>
    </row>
    <row r="55" spans="1:8" ht="20.100000000000001" customHeight="1" x14ac:dyDescent="0.25">
      <c r="A55" s="5" t="str">
        <f>HYPERLINK("#'Constants - Solid Waste'!A1", "Constants - Solid Waste")</f>
        <v>Constants - Solid Waste</v>
      </c>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333CC-949C-4338-9EE3-23C70ABB811F}">
  <dimension ref="A1:AA350"/>
  <sheetViews>
    <sheetView showGridLines="0" topLeftCell="A163"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182</v>
      </c>
      <c r="P5" s="35"/>
      <c r="T5" s="32"/>
    </row>
    <row r="6" spans="1:25" ht="20.100000000000001" customHeight="1" x14ac:dyDescent="0.25">
      <c r="P6" s="35"/>
      <c r="T6" s="32"/>
    </row>
    <row r="7" spans="1:25" ht="20.100000000000001" customHeight="1" x14ac:dyDescent="0.25">
      <c r="D7" s="1" t="s">
        <v>109</v>
      </c>
      <c r="E7" s="25" t="str">
        <f>X_Cell_Site_State</f>
        <v>Western Australia</v>
      </c>
      <c r="P7" s="35"/>
      <c r="T7" s="32"/>
    </row>
    <row r="8" spans="1:25" ht="20.100000000000001" customHeight="1" x14ac:dyDescent="0.25">
      <c r="A8" s="7" t="s">
        <v>0</v>
      </c>
      <c r="D8" s="1" t="s">
        <v>183</v>
      </c>
      <c r="E8" s="23" t="s">
        <v>184</v>
      </c>
      <c r="F8" s="26" t="s">
        <v>111</v>
      </c>
      <c r="P8" s="35"/>
      <c r="T8" s="32"/>
    </row>
    <row r="9" spans="1:25" ht="20.100000000000001" customHeight="1" x14ac:dyDescent="0.25">
      <c r="A9" s="5" t="str">
        <f>HYPERLINK("#'Input - Enterprise'!A1", "Enterprise")</f>
        <v>Enterprise</v>
      </c>
      <c r="D9" s="1" t="s">
        <v>185</v>
      </c>
      <c r="E9" s="23" t="s">
        <v>186</v>
      </c>
      <c r="F9" s="26" t="s">
        <v>111</v>
      </c>
      <c r="T9" s="32"/>
    </row>
    <row r="10" spans="1:25" ht="20.100000000000001" customHeight="1" x14ac:dyDescent="0.25">
      <c r="A10" s="5" t="str">
        <f>HYPERLINK("#'Input - Site'!A1", "Site")</f>
        <v>Site</v>
      </c>
      <c r="T10" s="32"/>
    </row>
    <row r="11" spans="1:25" ht="20.100000000000001" customHeight="1" x14ac:dyDescent="0.25">
      <c r="A11" s="92"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Pasture'!A1", "Pasture")</f>
        <v>Pasture</v>
      </c>
      <c r="D13" s="46" t="s">
        <v>187</v>
      </c>
      <c r="E13" s="48"/>
      <c r="F13" s="48"/>
      <c r="G13" s="49"/>
      <c r="T13" s="52"/>
    </row>
    <row r="14" spans="1:25" ht="20.100000000000001" customHeight="1" x14ac:dyDescent="0.25">
      <c r="A14" s="5" t="str">
        <f>HYPERLINK("#'Input - Fertiliser'!A1", "Fertiliser")</f>
        <v>Fertiliser</v>
      </c>
      <c r="T14" s="52"/>
    </row>
    <row r="15" spans="1:25" ht="20.100000000000001" customHeight="1" x14ac:dyDescent="0.25">
      <c r="A15" s="5" t="str">
        <f>HYPERLINK("#'Input - Fuel'!A1", "Fuel")</f>
        <v>Fuel</v>
      </c>
      <c r="D15" s="93" t="s">
        <v>188</v>
      </c>
      <c r="T15" s="52"/>
    </row>
    <row r="16" spans="1:25" ht="20.100000000000001" customHeight="1" x14ac:dyDescent="0.25">
      <c r="A16" s="5" t="str">
        <f>HYPERLINK("#'Input - Electricity'!A1", "Electricity")</f>
        <v>Electricity</v>
      </c>
      <c r="D16" s="95" t="s">
        <v>189</v>
      </c>
      <c r="E16" s="95" t="s">
        <v>190</v>
      </c>
      <c r="F16" s="95" t="s">
        <v>191</v>
      </c>
      <c r="G16" s="95" t="s">
        <v>192</v>
      </c>
      <c r="H16" s="95" t="s">
        <v>193</v>
      </c>
      <c r="I16" s="95" t="s">
        <v>194</v>
      </c>
      <c r="J16" s="95" t="s">
        <v>195</v>
      </c>
      <c r="K16" s="95" t="s">
        <v>196</v>
      </c>
      <c r="L16" s="95" t="s">
        <v>197</v>
      </c>
      <c r="M16" s="95" t="s">
        <v>198</v>
      </c>
      <c r="N16" s="95" t="s">
        <v>199</v>
      </c>
      <c r="T16" s="52"/>
    </row>
    <row r="17" spans="1:20" ht="20.100000000000001" customHeight="1" x14ac:dyDescent="0.25">
      <c r="A17" s="5" t="str">
        <f>HYPERLINK("#'Input - Farm Inputs'!A1", "Farm Inputs")</f>
        <v>Farm Inputs</v>
      </c>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5" t="str">
        <f>HYPERLINK("#'Input - Freight'!A1", "Freight")</f>
        <v>Freight</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HYPERLINK("#'Input - Manure sent off-site'!A1", "Manure sent off-site")</f>
        <v>Manure sent off-site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HYPERLINK("#'Input - Solid waste'!A1", "Solid waste")</f>
        <v>Solid waste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T21" s="32"/>
    </row>
    <row r="22" spans="1:20" ht="20.100000000000001" customHeight="1" x14ac:dyDescent="0.25">
      <c r="D22" s="95" t="s">
        <v>204</v>
      </c>
      <c r="E22" s="95" t="s">
        <v>190</v>
      </c>
      <c r="F22" s="95" t="s">
        <v>191</v>
      </c>
      <c r="G22" s="95" t="s">
        <v>192</v>
      </c>
      <c r="H22" s="95" t="s">
        <v>193</v>
      </c>
      <c r="I22" s="95" t="s">
        <v>194</v>
      </c>
      <c r="J22" s="95" t="s">
        <v>195</v>
      </c>
      <c r="K22" s="95" t="s">
        <v>196</v>
      </c>
      <c r="L22" s="95" t="s">
        <v>197</v>
      </c>
      <c r="M22" s="95" t="s">
        <v>198</v>
      </c>
      <c r="N22" s="95" t="s">
        <v>199</v>
      </c>
      <c r="T22" s="32"/>
    </row>
    <row r="23" spans="1:20" ht="20.100000000000001" customHeight="1" x14ac:dyDescent="0.25">
      <c r="A23" s="6" t="s">
        <v>2</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HYPERLINK("#'3.2.1.1-2 Enteric Methane'!A1", "3.2.1.1-2 Enteric methane")</f>
        <v>3.2.1.1-2 Enteric methane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HYPERLINK("#'4.2.1.1-2 Methane'!A1", "4.2.1.1-2 Manure methane")</f>
        <v>4.2.1.1-2 Manure methane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HYPERLINK("#'4.2.1.3-4 Soil direct N20'!A1", "4.2.1.3-4 Soil direct N2O")</f>
        <v>4.2.1.3-4 Soil direct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HYPERLINK("#'4.2.1.5-6 Soil Atmos Dep'!A1", "4.2.1.5-6 Soil atm. deposition")</f>
        <v>4.2.1.5-6 Soil atm. deposition</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HYPERLINK("#'4.2.1.7-8 Soil leach runoff'!A1", "4.2.1.7-8 Soil leach &amp; runoff")</f>
        <v>4.2.1.7-8 Soil leach &amp; runoff</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HYPERLINK("#'5.1.1.1-2 Inorganic fert N2O'!A1", "5.1.1.1-2 Inorganic fert N2O")</f>
        <v>5.1.1.1-2 Inorganic fert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HYPERLINK("#'5.1.1.3-4 Inorganic fert CO2'!A1", "5.1.1.3-4 Inorganic fert CO2")</f>
        <v>5.1.1.3-4 Inorganic fert CO2</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HYPERLINK("#'5.2.1.1-2 Organic Fert N2O'!A1", "5.2.1.1-2 Organic fert N2O")</f>
        <v>5.2.1.1-2 Organic fert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HYPERLINK("#'5.3.1.1-2 Lime CO2'!A1", "5.3.1.1-2 Lime CO2")</f>
        <v>5.3.1.1-2 Lime CO2</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HYPERLINK("#'5.4.1.1-4 Atmos deposition'!A1", "5.4.1.1-4 Atmos. deposition")</f>
        <v>5.4.1.1-4 Atmos. deposition</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HYPERLINK("#'5.5.1.1-2 Leaching and runoff'!A1", "5.5.1.1-2 Leaching &amp; runoff")</f>
        <v>5.5.1.1-2 Leaching &amp; runoff</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A35" s="5" t="str">
        <f>HYPERLINK("#'6.2.1.1-2 Pasture residue N2O'!A1", "6.2.1.1-2 Pasture residue N2O")</f>
        <v>6.2.1.1-2 Pasture residue N2O</v>
      </c>
      <c r="T35" s="32"/>
    </row>
    <row r="36" spans="1:20" ht="20.100000000000001" customHeight="1" x14ac:dyDescent="0.25">
      <c r="A36" s="5" t="str">
        <f>HYPERLINK("#'6.3.1.1-2 Leach runoff pasture'!A1", "6.3.1.1-2 Leach &amp; runoff (pasture)")</f>
        <v>6.3.1.1-2 Leach &amp; runoff (pasture)</v>
      </c>
      <c r="T36" s="32"/>
    </row>
    <row r="37" spans="1:20" ht="20.100000000000001" customHeight="1" x14ac:dyDescent="0.25">
      <c r="A37" s="5" t="str">
        <f>HYPERLINK("#'8.1.1.1-2 Transport fuel'!A1", "8.1.1.1-2 Transport fuel")</f>
        <v>8.1.1.1-2 Transport fuel</v>
      </c>
      <c r="D37" s="93" t="s">
        <v>205</v>
      </c>
      <c r="T37" s="32"/>
    </row>
    <row r="38" spans="1:20" ht="20.100000000000001" customHeight="1" x14ac:dyDescent="0.25">
      <c r="A38" s="5" t="str">
        <f>HYPERLINK("#'8.2.1.1-2 Stationary fuel'!A1", "8.2.1.1-2 Stationary fuel")</f>
        <v>8.2.1.1-2 Stationary fuel</v>
      </c>
      <c r="D38" s="95" t="s">
        <v>206</v>
      </c>
      <c r="E38" s="95" t="s">
        <v>190</v>
      </c>
      <c r="F38" s="95" t="s">
        <v>191</v>
      </c>
      <c r="G38" s="95" t="s">
        <v>192</v>
      </c>
      <c r="H38" s="95" t="s">
        <v>193</v>
      </c>
      <c r="I38" s="95" t="s">
        <v>194</v>
      </c>
      <c r="J38" s="95" t="s">
        <v>195</v>
      </c>
      <c r="K38" s="95" t="s">
        <v>196</v>
      </c>
      <c r="L38" s="95" t="s">
        <v>197</v>
      </c>
      <c r="M38" s="95" t="s">
        <v>198</v>
      </c>
      <c r="N38" s="95" t="s">
        <v>199</v>
      </c>
      <c r="T38" s="32"/>
    </row>
    <row r="39" spans="1:20" ht="20.100000000000001" customHeight="1" x14ac:dyDescent="0.25">
      <c r="A39" s="5" t="str">
        <f>HYPERLINK("#'14.1.1-2 Purchased electricity'!A1", "14.1.1-2 Purchased electricity")</f>
        <v>14.1.1-2 Purchased electricity</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HYPERLINK("#'15 Scope 3'!A1", "15 Scope 3")</f>
        <v>15 Scope 3</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HYPERLINK("#'Calcs - Manure sent off-site'!A1", "Calcs - Manure sent off-site")</f>
        <v>Calcs - Manure sent off-site</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HYPERLINK("#'10.1.1-2 Solid waste treatment'!A1", "10.1.1-2 Solid waste treatment")</f>
        <v>10.1.1-2 Solid waste treatment</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O43" s="26"/>
      <c r="T43" s="32"/>
    </row>
    <row r="44" spans="1:20" ht="20.100000000000001" customHeight="1" x14ac:dyDescent="0.25">
      <c r="D44" s="95" t="s">
        <v>207</v>
      </c>
      <c r="E44" s="95" t="s">
        <v>190</v>
      </c>
      <c r="F44" s="95" t="s">
        <v>191</v>
      </c>
      <c r="G44" s="95" t="s">
        <v>192</v>
      </c>
      <c r="H44" s="95" t="s">
        <v>193</v>
      </c>
      <c r="I44" s="95" t="s">
        <v>194</v>
      </c>
      <c r="J44" s="95" t="s">
        <v>195</v>
      </c>
      <c r="K44" s="95" t="s">
        <v>196</v>
      </c>
      <c r="L44" s="95" t="s">
        <v>197</v>
      </c>
      <c r="M44" s="95" t="s">
        <v>198</v>
      </c>
      <c r="N44" s="95" t="s">
        <v>199</v>
      </c>
      <c r="O44" s="26"/>
      <c r="T44" s="32"/>
    </row>
    <row r="45" spans="1:20" ht="20.100000000000001" customHeight="1" x14ac:dyDescent="0.25">
      <c r="A45" s="94" t="s">
        <v>1</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HYPERLINK("#'Constants - Pasture Beef'!A1", "Constants - Pasture Beef")</f>
        <v>Constants - Pasture Beef</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A47" s="5" t="str">
        <f>HYPERLINK("#'Constants - Ag Residue'!A1", "Constants - Ag residue")</f>
        <v>Constants - Ag residue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A48" s="5" t="str">
        <f>HYPERLINK("#'Constants - Common Livestock'!A1", "Constants - Common Livestock")</f>
        <v>Constants - Common Livestock</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1:20" ht="20.100000000000001" customHeight="1" x14ac:dyDescent="0.25">
      <c r="A49" s="5" t="str">
        <f>HYPERLINK("#'Constants - Electricity'!A1", "Constants - Electricity")</f>
        <v>Constants - Electricity</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1:20" ht="20.100000000000001" customHeight="1" x14ac:dyDescent="0.25">
      <c r="A50" s="5" t="str">
        <f>HYPERLINK("#'Constants - Fertiliser'!A1", "Constants - Fertiliser")</f>
        <v>Constants - Fertiliser</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1:20" ht="20.100000000000001" customHeight="1" x14ac:dyDescent="0.25">
      <c r="A51" s="5" t="str">
        <f>HYPERLINK("#'Constants - Fuel'!A1", "Constants - Fuel")</f>
        <v>Constants - Fuel</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1:20" ht="20.100000000000001" customHeight="1" x14ac:dyDescent="0.25">
      <c r="A52" s="5" t="str">
        <f>HYPERLINK("#'Constants - Scope 3'!A1", "Constants - Scope 3")</f>
        <v>Constants - Scope 3</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1:20" ht="20.100000000000001" customHeight="1" x14ac:dyDescent="0.25">
      <c r="A53" s="5" t="str">
        <f>HYPERLINK("#'Constants - Common'!A1", "Constants - Common")</f>
        <v>Constants - Common</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1:20" ht="20.100000000000001" customHeight="1" x14ac:dyDescent="0.25">
      <c r="A54" s="5" t="str">
        <f>HYPERLINK("#'Acknowledgements'!A1", "Acknowledgements")</f>
        <v>Acknowledgements</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1:20" ht="20.100000000000001" customHeight="1" x14ac:dyDescent="0.25">
      <c r="A55" s="5" t="str">
        <f>HYPERLINK("#'Constants - Solid Waste'!A1", "Constants - Solid Waste")</f>
        <v>Constants - Solid Waste</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1: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1:20" ht="20.100000000000001" customHeight="1" x14ac:dyDescent="0.25">
      <c r="P57" s="35"/>
      <c r="T57" s="32"/>
    </row>
    <row r="58" spans="1:20" ht="20.100000000000001" customHeight="1" x14ac:dyDescent="0.25">
      <c r="P58" s="35"/>
      <c r="T58" s="32"/>
    </row>
    <row r="59" spans="1:20" ht="20.100000000000001" customHeight="1" x14ac:dyDescent="0.25">
      <c r="D59" s="93" t="s">
        <v>208</v>
      </c>
      <c r="P59" s="35"/>
      <c r="T59" s="32"/>
    </row>
    <row r="60" spans="1:20" ht="20.100000000000001" customHeight="1" x14ac:dyDescent="0.25">
      <c r="D60" s="95" t="s">
        <v>189</v>
      </c>
      <c r="E60" s="95" t="s">
        <v>190</v>
      </c>
      <c r="F60" s="95" t="s">
        <v>191</v>
      </c>
      <c r="G60" s="95" t="s">
        <v>192</v>
      </c>
      <c r="H60" s="95" t="s">
        <v>193</v>
      </c>
      <c r="I60" s="95" t="s">
        <v>194</v>
      </c>
      <c r="J60" s="95" t="s">
        <v>195</v>
      </c>
      <c r="K60" s="95" t="s">
        <v>196</v>
      </c>
      <c r="L60" s="95" t="s">
        <v>197</v>
      </c>
      <c r="M60" s="95" t="s">
        <v>198</v>
      </c>
      <c r="N60" s="95" t="s">
        <v>199</v>
      </c>
      <c r="P60" s="35"/>
      <c r="T60" s="32"/>
    </row>
    <row r="61" spans="1: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1: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1: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1: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5" t="s">
        <v>204</v>
      </c>
      <c r="E66" s="95" t="s">
        <v>190</v>
      </c>
      <c r="F66" s="95" t="s">
        <v>191</v>
      </c>
      <c r="G66" s="95" t="s">
        <v>192</v>
      </c>
      <c r="H66" s="95" t="s">
        <v>193</v>
      </c>
      <c r="I66" s="95" t="s">
        <v>194</v>
      </c>
      <c r="J66" s="95" t="s">
        <v>195</v>
      </c>
      <c r="K66" s="95" t="s">
        <v>196</v>
      </c>
      <c r="L66" s="95" t="s">
        <v>197</v>
      </c>
      <c r="M66" s="95" t="s">
        <v>198</v>
      </c>
      <c r="N66" s="95"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3" t="s">
        <v>210</v>
      </c>
      <c r="T81" s="32"/>
    </row>
    <row r="82" spans="4:20" ht="20.100000000000001" customHeight="1" x14ac:dyDescent="0.25">
      <c r="D82" s="95" t="s">
        <v>189</v>
      </c>
      <c r="E82" s="95" t="s">
        <v>190</v>
      </c>
      <c r="F82" s="95" t="s">
        <v>191</v>
      </c>
      <c r="G82" s="95" t="s">
        <v>192</v>
      </c>
      <c r="H82" s="95" t="s">
        <v>193</v>
      </c>
      <c r="I82" s="95" t="s">
        <v>194</v>
      </c>
      <c r="J82" s="95" t="s">
        <v>195</v>
      </c>
      <c r="K82" s="95" t="s">
        <v>196</v>
      </c>
      <c r="L82" s="95" t="s">
        <v>197</v>
      </c>
      <c r="M82" s="95" t="s">
        <v>198</v>
      </c>
      <c r="N82" s="95"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5" t="s">
        <v>204</v>
      </c>
      <c r="E88" s="95" t="s">
        <v>190</v>
      </c>
      <c r="F88" s="95" t="s">
        <v>191</v>
      </c>
      <c r="G88" s="95" t="s">
        <v>192</v>
      </c>
      <c r="H88" s="95" t="s">
        <v>193</v>
      </c>
      <c r="I88" s="95" t="s">
        <v>194</v>
      </c>
      <c r="J88" s="95" t="s">
        <v>195</v>
      </c>
      <c r="K88" s="95" t="s">
        <v>196</v>
      </c>
      <c r="L88" s="95" t="s">
        <v>197</v>
      </c>
      <c r="M88" s="95" t="s">
        <v>198</v>
      </c>
      <c r="N88" s="95"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3" t="s">
        <v>212</v>
      </c>
      <c r="K103" s="26"/>
      <c r="L103" s="26"/>
      <c r="M103" s="26"/>
      <c r="N103" s="26"/>
      <c r="O103" s="26"/>
      <c r="T103" s="32"/>
    </row>
    <row r="104" spans="4:20" ht="20.100000000000001" customHeight="1" x14ac:dyDescent="0.25">
      <c r="D104" s="95" t="s">
        <v>206</v>
      </c>
      <c r="E104" s="95"/>
      <c r="F104" s="95"/>
      <c r="G104" s="95"/>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5" t="s">
        <v>215</v>
      </c>
      <c r="F110" s="95" t="s">
        <v>193</v>
      </c>
      <c r="G110" s="95" t="s">
        <v>194</v>
      </c>
      <c r="H110" s="95"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5" t="s">
        <v>207</v>
      </c>
      <c r="E118" s="95"/>
      <c r="F118" s="95"/>
      <c r="G118" s="95"/>
      <c r="L118" s="96"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5" t="s">
        <v>193</v>
      </c>
      <c r="F124" s="95" t="s">
        <v>194</v>
      </c>
      <c r="G124" s="95"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3" t="s">
        <v>229</v>
      </c>
      <c r="K131" s="26"/>
      <c r="L131" s="26"/>
      <c r="M131" s="26"/>
      <c r="N131" s="26"/>
      <c r="O131" s="26"/>
    </row>
    <row r="132" spans="4:15" ht="20.100000000000001" customHeight="1" x14ac:dyDescent="0.25">
      <c r="D132" s="95" t="s">
        <v>189</v>
      </c>
      <c r="E132" s="95" t="s">
        <v>190</v>
      </c>
      <c r="F132" s="95" t="s">
        <v>191</v>
      </c>
      <c r="G132" s="95" t="s">
        <v>192</v>
      </c>
      <c r="H132" s="95" t="s">
        <v>193</v>
      </c>
      <c r="I132" s="95" t="s">
        <v>194</v>
      </c>
      <c r="J132" s="95" t="s">
        <v>195</v>
      </c>
      <c r="K132" s="95" t="s">
        <v>196</v>
      </c>
      <c r="L132" s="95" t="s">
        <v>197</v>
      </c>
      <c r="M132" s="95" t="s">
        <v>198</v>
      </c>
      <c r="N132" s="95"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5" t="s">
        <v>204</v>
      </c>
      <c r="E138" s="95" t="s">
        <v>190</v>
      </c>
      <c r="F138" s="95" t="s">
        <v>191</v>
      </c>
      <c r="G138" s="95" t="s">
        <v>192</v>
      </c>
      <c r="H138" s="95" t="s">
        <v>193</v>
      </c>
      <c r="I138" s="95" t="s">
        <v>194</v>
      </c>
      <c r="J138" s="95" t="s">
        <v>195</v>
      </c>
      <c r="K138" s="95" t="s">
        <v>196</v>
      </c>
      <c r="L138" s="95" t="s">
        <v>197</v>
      </c>
      <c r="M138" s="95" t="s">
        <v>198</v>
      </c>
      <c r="N138" s="95"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3" t="s">
        <v>231</v>
      </c>
      <c r="K153" s="26"/>
      <c r="L153" s="26"/>
      <c r="M153" s="26"/>
      <c r="N153" s="26"/>
      <c r="O153" s="26"/>
    </row>
    <row r="154" spans="4:15" ht="20.100000000000001" customHeight="1" x14ac:dyDescent="0.25">
      <c r="D154" s="95" t="s">
        <v>189</v>
      </c>
      <c r="E154" s="95" t="s">
        <v>190</v>
      </c>
      <c r="F154" s="95" t="s">
        <v>191</v>
      </c>
      <c r="G154" s="95" t="s">
        <v>192</v>
      </c>
      <c r="H154" s="95" t="s">
        <v>193</v>
      </c>
      <c r="I154" s="95" t="s">
        <v>194</v>
      </c>
      <c r="J154" s="95" t="s">
        <v>195</v>
      </c>
      <c r="K154" s="95" t="s">
        <v>196</v>
      </c>
      <c r="L154" s="95" t="s">
        <v>197</v>
      </c>
      <c r="M154" s="95" t="s">
        <v>198</v>
      </c>
      <c r="N154" s="95"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5" t="s">
        <v>204</v>
      </c>
      <c r="E160" s="95" t="s">
        <v>190</v>
      </c>
      <c r="F160" s="95" t="s">
        <v>191</v>
      </c>
      <c r="G160" s="95" t="s">
        <v>192</v>
      </c>
      <c r="H160" s="95" t="s">
        <v>193</v>
      </c>
      <c r="I160" s="95" t="s">
        <v>194</v>
      </c>
      <c r="J160" s="95" t="s">
        <v>195</v>
      </c>
      <c r="K160" s="95" t="s">
        <v>196</v>
      </c>
      <c r="L160" s="95" t="s">
        <v>197</v>
      </c>
      <c r="M160" s="95" t="s">
        <v>198</v>
      </c>
      <c r="N160" s="95"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3"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5" t="s">
        <v>234</v>
      </c>
      <c r="E179" s="95" t="s">
        <v>235</v>
      </c>
      <c r="L179" s="26"/>
      <c r="M179" s="26"/>
      <c r="N179" s="26"/>
      <c r="O179" s="26"/>
    </row>
    <row r="180" spans="4:15" ht="20.100000000000001" customHeight="1" x14ac:dyDescent="0.25">
      <c r="D180" s="1" t="s">
        <v>93</v>
      </c>
      <c r="E180" s="9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8" t="s">
        <v>240</v>
      </c>
    </row>
    <row r="190" spans="4:15" ht="20.100000000000001" customHeight="1" x14ac:dyDescent="0.25">
      <c r="D190" s="30" t="s">
        <v>241</v>
      </c>
      <c r="E190" s="30" t="s">
        <v>242</v>
      </c>
      <c r="F190" s="30" t="s">
        <v>243</v>
      </c>
      <c r="G190" s="30" t="s">
        <v>244</v>
      </c>
      <c r="H190" s="30" t="s">
        <v>245</v>
      </c>
      <c r="I190" s="30" t="s">
        <v>246</v>
      </c>
      <c r="J190" s="99" t="s">
        <v>247</v>
      </c>
      <c r="K190" s="99" t="s">
        <v>248</v>
      </c>
    </row>
    <row r="191" spans="4:15" ht="20.100000000000001" customHeight="1" x14ac:dyDescent="0.25">
      <c r="D191" s="44" t="s">
        <v>249</v>
      </c>
      <c r="E191" s="100">
        <v>45547</v>
      </c>
      <c r="F191" s="23" t="s">
        <v>196</v>
      </c>
      <c r="G191" s="101"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2"/>
      <c r="G192" s="101"/>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2"/>
      <c r="G193" s="101"/>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2"/>
      <c r="G194" s="101"/>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2"/>
      <c r="G195" s="101"/>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2"/>
      <c r="G196" s="101"/>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2"/>
      <c r="G197" s="101"/>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2"/>
      <c r="G198" s="101"/>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2"/>
      <c r="G199" s="101"/>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3"/>
      <c r="E200" s="103"/>
      <c r="F200" s="102"/>
      <c r="G200" s="104"/>
      <c r="H200" s="102"/>
      <c r="I200" s="105"/>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8" t="s">
        <v>240</v>
      </c>
      <c r="Z205" s="91"/>
    </row>
    <row r="206" spans="4:27" ht="20.100000000000001" customHeight="1" x14ac:dyDescent="0.25">
      <c r="D206" s="30" t="s">
        <v>241</v>
      </c>
      <c r="E206" s="30" t="s">
        <v>243</v>
      </c>
      <c r="F206" s="30" t="s">
        <v>253</v>
      </c>
      <c r="G206" s="30" t="s">
        <v>254</v>
      </c>
      <c r="H206" s="30" t="s">
        <v>255</v>
      </c>
      <c r="I206" s="30" t="s">
        <v>256</v>
      </c>
      <c r="Z206" s="91"/>
      <c r="AA206" s="91"/>
    </row>
    <row r="207" spans="4:27" ht="20.100000000000001" customHeight="1" x14ac:dyDescent="0.25">
      <c r="D207" s="44"/>
      <c r="E207" s="23" t="s">
        <v>191</v>
      </c>
      <c r="F207" s="106">
        <v>45566</v>
      </c>
      <c r="G207" s="30">
        <v>10</v>
      </c>
      <c r="H207" s="30">
        <v>500</v>
      </c>
      <c r="I207" s="25">
        <f t="shared" ref="I207:I216" si="2">G207*H207</f>
        <v>5000</v>
      </c>
      <c r="Z207" s="91"/>
      <c r="AA207" s="91"/>
    </row>
    <row r="208" spans="4:27" ht="20.100000000000001" customHeight="1" x14ac:dyDescent="0.25">
      <c r="D208" s="44"/>
      <c r="E208" s="23"/>
      <c r="F208" s="106"/>
      <c r="G208" s="30"/>
      <c r="H208" s="30"/>
      <c r="I208" s="25">
        <f t="shared" si="2"/>
        <v>0</v>
      </c>
      <c r="Z208" s="91"/>
      <c r="AA208" s="91"/>
    </row>
    <row r="209" spans="4:27" ht="20.100000000000001" customHeight="1" x14ac:dyDescent="0.25">
      <c r="D209" s="44"/>
      <c r="E209" s="23"/>
      <c r="F209" s="106"/>
      <c r="G209" s="30"/>
      <c r="H209" s="30"/>
      <c r="I209" s="25">
        <f t="shared" si="2"/>
        <v>0</v>
      </c>
      <c r="Z209" s="91"/>
      <c r="AA209" s="91"/>
    </row>
    <row r="210" spans="4:27" ht="20.100000000000001" customHeight="1" x14ac:dyDescent="0.25">
      <c r="D210" s="44"/>
      <c r="E210" s="23"/>
      <c r="F210" s="106"/>
      <c r="G210" s="30"/>
      <c r="H210" s="30"/>
      <c r="I210" s="25">
        <f t="shared" si="2"/>
        <v>0</v>
      </c>
      <c r="Z210" s="91"/>
      <c r="AA210" s="91"/>
    </row>
    <row r="211" spans="4:27" ht="20.100000000000001" customHeight="1" x14ac:dyDescent="0.25">
      <c r="D211" s="44"/>
      <c r="E211" s="23"/>
      <c r="F211" s="106"/>
      <c r="G211" s="30"/>
      <c r="H211" s="30"/>
      <c r="I211" s="25">
        <f t="shared" si="2"/>
        <v>0</v>
      </c>
      <c r="Z211" s="91"/>
      <c r="AA211" s="91"/>
    </row>
    <row r="212" spans="4:27" ht="20.100000000000001" customHeight="1" x14ac:dyDescent="0.25">
      <c r="D212" s="44"/>
      <c r="E212" s="23"/>
      <c r="F212" s="106"/>
      <c r="G212" s="30"/>
      <c r="H212" s="30"/>
      <c r="I212" s="25">
        <f t="shared" si="2"/>
        <v>0</v>
      </c>
      <c r="Z212" s="91"/>
      <c r="AA212" s="91"/>
    </row>
    <row r="213" spans="4:27" ht="20.100000000000001" customHeight="1" x14ac:dyDescent="0.25">
      <c r="D213" s="44"/>
      <c r="E213" s="23"/>
      <c r="F213" s="106"/>
      <c r="G213" s="30"/>
      <c r="H213" s="30"/>
      <c r="I213" s="25">
        <f t="shared" si="2"/>
        <v>0</v>
      </c>
      <c r="Z213" s="91"/>
      <c r="AA213" s="91"/>
    </row>
    <row r="214" spans="4:27" ht="20.100000000000001" customHeight="1" x14ac:dyDescent="0.25">
      <c r="D214" s="44"/>
      <c r="E214" s="23"/>
      <c r="F214" s="106"/>
      <c r="G214" s="30"/>
      <c r="H214" s="30"/>
      <c r="I214" s="25">
        <f t="shared" si="2"/>
        <v>0</v>
      </c>
      <c r="Z214" s="91"/>
      <c r="AA214" s="91"/>
    </row>
    <row r="215" spans="4:27" ht="20.100000000000001" customHeight="1" x14ac:dyDescent="0.25">
      <c r="D215" s="44"/>
      <c r="E215" s="23"/>
      <c r="F215" s="106"/>
      <c r="G215" s="30"/>
      <c r="H215" s="30"/>
      <c r="I215" s="25">
        <f t="shared" si="2"/>
        <v>0</v>
      </c>
      <c r="Z215" s="91"/>
      <c r="AA215" s="91"/>
    </row>
    <row r="216" spans="4:27" ht="20.100000000000001" customHeight="1" x14ac:dyDescent="0.25">
      <c r="D216" s="44"/>
      <c r="E216" s="23"/>
      <c r="F216" s="106"/>
      <c r="G216" s="30"/>
      <c r="H216" s="30"/>
      <c r="I216" s="25">
        <f t="shared" si="2"/>
        <v>0</v>
      </c>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8"/>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05" priority="12" operator="lessThan">
      <formula>0</formula>
    </cfRule>
  </conditionalFormatting>
  <conditionalFormatting sqref="F239:F240">
    <cfRule type="cellIs" dxfId="104" priority="11" operator="lessThan">
      <formula>0</formula>
    </cfRule>
  </conditionalFormatting>
  <conditionalFormatting sqref="F244:F245">
    <cfRule type="cellIs" dxfId="103" priority="10" operator="lessThan">
      <formula>0</formula>
    </cfRule>
  </conditionalFormatting>
  <conditionalFormatting sqref="F249:F250">
    <cfRule type="cellIs" dxfId="102" priority="9" operator="lessThan">
      <formula>0</formula>
    </cfRule>
  </conditionalFormatting>
  <conditionalFormatting sqref="F273:F274">
    <cfRule type="cellIs" dxfId="101" priority="8" operator="lessThan">
      <formula>0</formula>
    </cfRule>
  </conditionalFormatting>
  <conditionalFormatting sqref="F278:F279">
    <cfRule type="cellIs" dxfId="100" priority="7" operator="lessThan">
      <formula>0</formula>
    </cfRule>
  </conditionalFormatting>
  <conditionalFormatting sqref="F283:F284">
    <cfRule type="cellIs" dxfId="99" priority="6" operator="lessThan">
      <formula>0</formula>
    </cfRule>
  </conditionalFormatting>
  <conditionalFormatting sqref="H124:K124">
    <cfRule type="cellIs" dxfId="98" priority="4" operator="lessThan">
      <formula>0</formula>
    </cfRule>
  </conditionalFormatting>
  <conditionalFormatting sqref="I130:O131">
    <cfRule type="cellIs" dxfId="97" priority="5" operator="lessThan">
      <formula>0</formula>
    </cfRule>
  </conditionalFormatting>
  <conditionalFormatting sqref="I153:O153">
    <cfRule type="cellIs" dxfId="96" priority="3" operator="lessThan">
      <formula>0</formula>
    </cfRule>
  </conditionalFormatting>
  <conditionalFormatting sqref="K123:K124">
    <cfRule type="cellIs" dxfId="95" priority="2" operator="lessThan">
      <formula>0</formula>
    </cfRule>
  </conditionalFormatting>
  <conditionalFormatting sqref="N121:N123">
    <cfRule type="cellIs" dxfId="94" priority="1" operator="lessThan">
      <formula>0</formula>
    </cfRule>
  </conditionalFormatting>
  <conditionalFormatting sqref="P43:R43">
    <cfRule type="cellIs" dxfId="93" priority="13" operator="lessThan">
      <formula>0</formula>
    </cfRule>
  </conditionalFormatting>
  <dataValidations count="12">
    <dataValidation type="list" allowBlank="1" showInputMessage="1" showErrorMessage="1" sqref="H191:H200" xr:uid="{CFB85BD2-9643-4091-B3AB-6AF71A7EE5E8}">
      <formula1>INDIRECT("Table_ProductRegions_Beefcattle[Region]")</formula1>
    </dataValidation>
    <dataValidation type="list" allowBlank="1" showInputMessage="1" showErrorMessage="1" sqref="G191:G200" xr:uid="{5CA8F0D9-DBC4-4585-A3E4-1EE356C60E04}">
      <formula1>INDIRECT(TRIM("Table_SourceData_LivestockProduct_Beefcattle[Product]"))</formula1>
    </dataValidation>
    <dataValidation type="list" allowBlank="1" showInputMessage="1" showErrorMessage="1" sqref="F191:F200 E207:E216" xr:uid="{8C3F6360-ED35-40F4-B276-93E8530C736D}">
      <formula1>INDIRECT("Table_LivestockClasses_Beefcattle[Livestock class]")</formula1>
    </dataValidation>
    <dataValidation type="list" allowBlank="1" showInputMessage="1" showErrorMessage="1" sqref="E119" xr:uid="{CB429B5E-DF9E-405F-BCCA-CEF68B001492}">
      <formula1>$D$23:$D$34</formula1>
    </dataValidation>
    <dataValidation type="list" allowBlank="1" showInputMessage="1" showErrorMessage="1" sqref="E105" xr:uid="{5631DEE4-04FF-4D1F-A803-24E2127D40C8}">
      <formula1>"Spring, Summer, Autumn, Winter"</formula1>
    </dataValidation>
    <dataValidation type="list" allowBlank="1" showInputMessage="1" showErrorMessage="1" sqref="E184" xr:uid="{AA7473F0-6FC7-4233-B00D-93884FD8F7B6}">
      <formula1>INDIRECT("Table_SourceData_PastureBeef_CropProdSystems[Production system]")</formula1>
    </dataValidation>
    <dataValidation type="list" allowBlank="1" showInputMessage="1" showErrorMessage="1" sqref="E185" xr:uid="{EAAA9F7C-E878-435D-946D-E66871F4616D}">
      <formula1>INDIRECT("Table_SourceData_PastureBeef_IrrigationMethods[Irrigation method]")</formula1>
    </dataValidation>
    <dataValidation type="list" allowBlank="1" showInputMessage="1" showErrorMessage="1" sqref="E9" xr:uid="{36E1A23A-A28E-402A-8F46-16EDC50CD60E}">
      <formula1>INDIRECT("Table_SourceData_PastureBeef_FeedIntakeAdjustment[Breed]")</formula1>
    </dataValidation>
    <dataValidation type="list" allowBlank="1" showInputMessage="1" showErrorMessage="1" sqref="E8" xr:uid="{92FD1FC2-F5FC-4167-B87F-39B77A6BF9B5}">
      <formula1>INDIRECT("Table_SourceData_PastureBeef_Region_" &amp; SUBSTITUTE($E$7, " ", "") &amp; "[Region]")</formula1>
    </dataValidation>
    <dataValidation type="list" allowBlank="1" showInputMessage="1" showErrorMessage="1" sqref="E15 E37 E59 E81" xr:uid="{30D6458A-6813-4F5B-BFBF-D6C66B99F457}">
      <formula1>INDIRECT("Table_SourceData_Dairy_WjCowsHeifers[Breed]")</formula1>
    </dataValidation>
    <dataValidation type="list" allowBlank="1" showInputMessage="1" showErrorMessage="1" sqref="E238 E243 E248 E282 E277 E272 E177" xr:uid="{131FFCA1-F1D3-45B7-94C6-288241470FE4}">
      <formula1>"Yes, No"</formula1>
    </dataValidation>
    <dataValidation type="list" allowBlank="1" showInputMessage="1" showErrorMessage="1" sqref="D266" xr:uid="{6F32EDFE-53AC-4B32-850E-0C808F55FFF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FCC30-D758-4A4A-AA5D-19CB1520B36D}">
  <dimension ref="A1:AA350"/>
  <sheetViews>
    <sheetView showGridLines="0" topLeftCell="D184"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182</v>
      </c>
      <c r="P5" s="35"/>
      <c r="T5" s="32"/>
    </row>
    <row r="6" spans="1:25" ht="20.100000000000001" customHeight="1" x14ac:dyDescent="0.25">
      <c r="P6" s="35"/>
      <c r="T6" s="32"/>
    </row>
    <row r="7" spans="1:25" ht="20.100000000000001" customHeight="1" x14ac:dyDescent="0.25">
      <c r="D7" s="1" t="s">
        <v>109</v>
      </c>
      <c r="E7" s="25" t="str">
        <f>X_Cell_Site_State</f>
        <v>Western Australia</v>
      </c>
      <c r="P7" s="35"/>
      <c r="T7" s="32"/>
    </row>
    <row r="8" spans="1:25" ht="20.100000000000001" customHeight="1" x14ac:dyDescent="0.25">
      <c r="A8" s="7" t="s">
        <v>0</v>
      </c>
      <c r="D8" s="1" t="s">
        <v>183</v>
      </c>
      <c r="E8" s="23" t="s">
        <v>184</v>
      </c>
      <c r="F8" s="26" t="s">
        <v>111</v>
      </c>
      <c r="P8" s="35"/>
      <c r="T8" s="32"/>
    </row>
    <row r="9" spans="1:25" ht="20.100000000000001" customHeight="1" x14ac:dyDescent="0.25">
      <c r="A9" s="5" t="str">
        <f>HYPERLINK("#'Input - Enterprise'!A1", "Enterprise")</f>
        <v>Enterprise</v>
      </c>
      <c r="D9" s="1" t="s">
        <v>185</v>
      </c>
      <c r="E9" s="23" t="s">
        <v>186</v>
      </c>
      <c r="F9" s="26" t="s">
        <v>111</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2" t="str">
        <f>HYPERLINK("#'Input - Pasture Beef (Enteric)'!A1", "Pasture Beef (Enteric)")</f>
        <v>Pasture Beef (Enteric)</v>
      </c>
      <c r="T12" s="32"/>
    </row>
    <row r="13" spans="1:25" ht="20.100000000000001" customHeight="1" x14ac:dyDescent="0.25">
      <c r="A13" s="5" t="str">
        <f>HYPERLINK("#'Input - Pasture'!A1", "Pasture")</f>
        <v>Pasture</v>
      </c>
      <c r="D13" s="46" t="s">
        <v>187</v>
      </c>
      <c r="E13" s="48"/>
      <c r="F13" s="48"/>
      <c r="G13" s="49"/>
      <c r="T13" s="52"/>
    </row>
    <row r="14" spans="1:25" ht="20.100000000000001" customHeight="1" x14ac:dyDescent="0.25">
      <c r="A14" s="5" t="str">
        <f>HYPERLINK("#'Input - Fertiliser'!A1", "Fertiliser")</f>
        <v>Fertiliser</v>
      </c>
      <c r="T14" s="52"/>
    </row>
    <row r="15" spans="1:25" ht="20.100000000000001" customHeight="1" x14ac:dyDescent="0.25">
      <c r="A15" s="5" t="str">
        <f>HYPERLINK("#'Input - Fuel'!A1", "Fuel")</f>
        <v>Fuel</v>
      </c>
      <c r="D15" s="93" t="s">
        <v>188</v>
      </c>
      <c r="T15" s="52"/>
    </row>
    <row r="16" spans="1:25" ht="20.100000000000001" customHeight="1" x14ac:dyDescent="0.25">
      <c r="A16" s="5" t="str">
        <f>HYPERLINK("#'Input - Electricity'!A1", "Electricity")</f>
        <v>Electricity</v>
      </c>
      <c r="D16" s="95" t="s">
        <v>189</v>
      </c>
      <c r="E16" s="95" t="s">
        <v>190</v>
      </c>
      <c r="F16" s="95" t="s">
        <v>191</v>
      </c>
      <c r="G16" s="95" t="s">
        <v>192</v>
      </c>
      <c r="H16" s="95" t="s">
        <v>193</v>
      </c>
      <c r="I16" s="95" t="s">
        <v>194</v>
      </c>
      <c r="J16" s="95" t="s">
        <v>195</v>
      </c>
      <c r="K16" s="95" t="s">
        <v>196</v>
      </c>
      <c r="L16" s="95" t="s">
        <v>197</v>
      </c>
      <c r="M16" s="95" t="s">
        <v>198</v>
      </c>
      <c r="N16" s="95" t="s">
        <v>199</v>
      </c>
      <c r="T16" s="52"/>
    </row>
    <row r="17" spans="1:20" ht="20.100000000000001" customHeight="1" x14ac:dyDescent="0.25">
      <c r="A17" s="5" t="str">
        <f>HYPERLINK("#'Input - Farm Inputs'!A1", "Farm Inputs")</f>
        <v>Farm Inputs</v>
      </c>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5" t="str">
        <f>HYPERLINK("#'Input - Freight'!A1", "Freight")</f>
        <v>Freight</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HYPERLINK("#'Input - Manure sent off-site'!A1", "Manure sent off-site")</f>
        <v>Manure sent off-site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HYPERLINK("#'Input - Solid waste'!A1", "Solid waste")</f>
        <v>Solid waste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T21" s="32"/>
    </row>
    <row r="22" spans="1:20" ht="20.100000000000001" customHeight="1" x14ac:dyDescent="0.25">
      <c r="D22" s="95" t="s">
        <v>204</v>
      </c>
      <c r="E22" s="95" t="s">
        <v>190</v>
      </c>
      <c r="F22" s="95" t="s">
        <v>191</v>
      </c>
      <c r="G22" s="95" t="s">
        <v>192</v>
      </c>
      <c r="H22" s="95" t="s">
        <v>193</v>
      </c>
      <c r="I22" s="95" t="s">
        <v>194</v>
      </c>
      <c r="J22" s="95" t="s">
        <v>195</v>
      </c>
      <c r="K22" s="95" t="s">
        <v>196</v>
      </c>
      <c r="L22" s="95" t="s">
        <v>197</v>
      </c>
      <c r="M22" s="95" t="s">
        <v>198</v>
      </c>
      <c r="N22" s="95" t="s">
        <v>199</v>
      </c>
      <c r="T22" s="32"/>
    </row>
    <row r="23" spans="1:20" ht="20.100000000000001" customHeight="1" x14ac:dyDescent="0.25">
      <c r="A23" s="6" t="s">
        <v>2</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HYPERLINK("#'3.2.1.1-2 Enteric Methane'!A1", "3.2.1.1-2 Enteric methane")</f>
        <v>3.2.1.1-2 Enteric methane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HYPERLINK("#'4.2.1.1-2 Methane'!A1", "4.2.1.1-2 Manure methane")</f>
        <v>4.2.1.1-2 Manure methane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HYPERLINK("#'4.2.1.3-4 Soil direct N20'!A1", "4.2.1.3-4 Soil direct N2O")</f>
        <v>4.2.1.3-4 Soil direct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HYPERLINK("#'4.2.1.5-6 Soil Atmos Dep'!A1", "4.2.1.5-6 Soil atm. deposition")</f>
        <v>4.2.1.5-6 Soil atm. deposition</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HYPERLINK("#'4.2.1.7-8 Soil leach runoff'!A1", "4.2.1.7-8 Soil leach &amp; runoff")</f>
        <v>4.2.1.7-8 Soil leach &amp; runoff</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HYPERLINK("#'5.1.1.1-2 Inorganic fert N2O'!A1", "5.1.1.1-2 Inorganic fert N2O")</f>
        <v>5.1.1.1-2 Inorganic fert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HYPERLINK("#'5.1.1.3-4 Inorganic fert CO2'!A1", "5.1.1.3-4 Inorganic fert CO2")</f>
        <v>5.1.1.3-4 Inorganic fert CO2</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HYPERLINK("#'5.2.1.1-2 Organic Fert N2O'!A1", "5.2.1.1-2 Organic fert N2O")</f>
        <v>5.2.1.1-2 Organic fert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HYPERLINK("#'5.3.1.1-2 Lime CO2'!A1", "5.3.1.1-2 Lime CO2")</f>
        <v>5.3.1.1-2 Lime CO2</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HYPERLINK("#'5.4.1.1-4 Atmos deposition'!A1", "5.4.1.1-4 Atmos. deposition")</f>
        <v>5.4.1.1-4 Atmos. deposition</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HYPERLINK("#'5.5.1.1-2 Leaching and runoff'!A1", "5.5.1.1-2 Leaching &amp; runoff")</f>
        <v>5.5.1.1-2 Leaching &amp; runoff</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A35" s="5" t="str">
        <f>HYPERLINK("#'6.2.1.1-2 Pasture residue N2O'!A1", "6.2.1.1-2 Pasture residue N2O")</f>
        <v>6.2.1.1-2 Pasture residue N2O</v>
      </c>
      <c r="T35" s="32"/>
    </row>
    <row r="36" spans="1:20" ht="20.100000000000001" customHeight="1" x14ac:dyDescent="0.25">
      <c r="A36" s="5" t="str">
        <f>HYPERLINK("#'6.3.1.1-2 Leach runoff pasture'!A1", "6.3.1.1-2 Leach &amp; runoff (pasture)")</f>
        <v>6.3.1.1-2 Leach &amp; runoff (pasture)</v>
      </c>
      <c r="T36" s="32"/>
    </row>
    <row r="37" spans="1:20" ht="20.100000000000001" customHeight="1" x14ac:dyDescent="0.25">
      <c r="A37" s="5" t="str">
        <f>HYPERLINK("#'8.1.1.1-2 Transport fuel'!A1", "8.1.1.1-2 Transport fuel")</f>
        <v>8.1.1.1-2 Transport fuel</v>
      </c>
      <c r="D37" s="93" t="s">
        <v>205</v>
      </c>
      <c r="T37" s="32"/>
    </row>
    <row r="38" spans="1:20" ht="20.100000000000001" customHeight="1" x14ac:dyDescent="0.25">
      <c r="A38" s="5" t="str">
        <f>HYPERLINK("#'8.2.1.1-2 Stationary fuel'!A1", "8.2.1.1-2 Stationary fuel")</f>
        <v>8.2.1.1-2 Stationary fuel</v>
      </c>
      <c r="D38" s="95" t="s">
        <v>206</v>
      </c>
      <c r="E38" s="95" t="s">
        <v>190</v>
      </c>
      <c r="F38" s="95" t="s">
        <v>191</v>
      </c>
      <c r="G38" s="95" t="s">
        <v>192</v>
      </c>
      <c r="H38" s="95" t="s">
        <v>193</v>
      </c>
      <c r="I38" s="95" t="s">
        <v>194</v>
      </c>
      <c r="J38" s="95" t="s">
        <v>195</v>
      </c>
      <c r="K38" s="95" t="s">
        <v>196</v>
      </c>
      <c r="L38" s="95" t="s">
        <v>197</v>
      </c>
      <c r="M38" s="95" t="s">
        <v>198</v>
      </c>
      <c r="N38" s="95" t="s">
        <v>199</v>
      </c>
      <c r="T38" s="32"/>
    </row>
    <row r="39" spans="1:20" ht="20.100000000000001" customHeight="1" x14ac:dyDescent="0.25">
      <c r="A39" s="5" t="str">
        <f>HYPERLINK("#'14.1.1-2 Purchased electricity'!A1", "14.1.1-2 Purchased electricity")</f>
        <v>14.1.1-2 Purchased electricity</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HYPERLINK("#'15 Scope 3'!A1", "15 Scope 3")</f>
        <v>15 Scope 3</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HYPERLINK("#'Calcs - Manure sent off-site'!A1", "Calcs - Manure sent off-site")</f>
        <v>Calcs - Manure sent off-site</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HYPERLINK("#'10.1.1-2 Solid waste treatment'!A1", "10.1.1-2 Solid waste treatment")</f>
        <v>10.1.1-2 Solid waste treatment</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O43" s="26"/>
      <c r="T43" s="32"/>
    </row>
    <row r="44" spans="1:20" ht="20.100000000000001" customHeight="1" x14ac:dyDescent="0.25">
      <c r="D44" s="95" t="s">
        <v>207</v>
      </c>
      <c r="E44" s="95" t="s">
        <v>190</v>
      </c>
      <c r="F44" s="95" t="s">
        <v>191</v>
      </c>
      <c r="G44" s="95" t="s">
        <v>192</v>
      </c>
      <c r="H44" s="95" t="s">
        <v>193</v>
      </c>
      <c r="I44" s="95" t="s">
        <v>194</v>
      </c>
      <c r="J44" s="95" t="s">
        <v>195</v>
      </c>
      <c r="K44" s="95" t="s">
        <v>196</v>
      </c>
      <c r="L44" s="95" t="s">
        <v>197</v>
      </c>
      <c r="M44" s="95" t="s">
        <v>198</v>
      </c>
      <c r="N44" s="95" t="s">
        <v>199</v>
      </c>
      <c r="O44" s="26"/>
      <c r="T44" s="32"/>
    </row>
    <row r="45" spans="1:20" ht="20.100000000000001" customHeight="1" x14ac:dyDescent="0.25">
      <c r="A45" s="94" t="s">
        <v>1</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HYPERLINK("#'Constants - Pasture Beef'!A1", "Constants - Pasture Beef")</f>
        <v>Constants - Pasture Beef</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A47" s="5" t="str">
        <f>HYPERLINK("#'Constants - Ag Residue'!A1", "Constants - Ag residue")</f>
        <v>Constants - Ag residue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A48" s="5" t="str">
        <f>HYPERLINK("#'Constants - Common Livestock'!A1", "Constants - Common Livestock")</f>
        <v>Constants - Common Livestock</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1:20" ht="20.100000000000001" customHeight="1" x14ac:dyDescent="0.25">
      <c r="A49" s="5" t="str">
        <f>HYPERLINK("#'Constants - Electricity'!A1", "Constants - Electricity")</f>
        <v>Constants - Electricity</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1:20" ht="20.100000000000001" customHeight="1" x14ac:dyDescent="0.25">
      <c r="A50" s="5" t="str">
        <f>HYPERLINK("#'Constants - Fertiliser'!A1", "Constants - Fertiliser")</f>
        <v>Constants - Fertiliser</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1:20" ht="20.100000000000001" customHeight="1" x14ac:dyDescent="0.25">
      <c r="A51" s="5" t="str">
        <f>HYPERLINK("#'Constants - Fuel'!A1", "Constants - Fuel")</f>
        <v>Constants - Fuel</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1:20" ht="20.100000000000001" customHeight="1" x14ac:dyDescent="0.25">
      <c r="A52" s="5" t="str">
        <f>HYPERLINK("#'Constants - Scope 3'!A1", "Constants - Scope 3")</f>
        <v>Constants - Scope 3</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1:20" ht="20.100000000000001" customHeight="1" x14ac:dyDescent="0.25">
      <c r="A53" s="5" t="str">
        <f>HYPERLINK("#'Constants - Common'!A1", "Constants - Common")</f>
        <v>Constants - Common</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1:20" ht="20.100000000000001" customHeight="1" x14ac:dyDescent="0.25">
      <c r="A54" s="5" t="str">
        <f>HYPERLINK("#'Acknowledgements'!A1", "Acknowledgements")</f>
        <v>Acknowledgements</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1:20" ht="20.100000000000001" customHeight="1" x14ac:dyDescent="0.25">
      <c r="A55" s="5" t="str">
        <f>HYPERLINK("#'Constants - Solid Waste'!A1", "Constants - Solid Waste")</f>
        <v>Constants - Solid Waste</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1: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1:20" ht="20.100000000000001" customHeight="1" x14ac:dyDescent="0.25">
      <c r="P57" s="35"/>
      <c r="T57" s="32"/>
    </row>
    <row r="58" spans="1:20" ht="20.100000000000001" customHeight="1" x14ac:dyDescent="0.25">
      <c r="P58" s="35"/>
      <c r="T58" s="32"/>
    </row>
    <row r="59" spans="1:20" ht="20.100000000000001" customHeight="1" x14ac:dyDescent="0.25">
      <c r="D59" s="93" t="s">
        <v>208</v>
      </c>
      <c r="P59" s="35"/>
      <c r="T59" s="32"/>
    </row>
    <row r="60" spans="1:20" ht="20.100000000000001" customHeight="1" x14ac:dyDescent="0.25">
      <c r="D60" s="95" t="s">
        <v>189</v>
      </c>
      <c r="E60" s="95" t="s">
        <v>190</v>
      </c>
      <c r="F60" s="95" t="s">
        <v>191</v>
      </c>
      <c r="G60" s="95" t="s">
        <v>192</v>
      </c>
      <c r="H60" s="95" t="s">
        <v>193</v>
      </c>
      <c r="I60" s="95" t="s">
        <v>194</v>
      </c>
      <c r="J60" s="95" t="s">
        <v>195</v>
      </c>
      <c r="K60" s="95" t="s">
        <v>196</v>
      </c>
      <c r="L60" s="95" t="s">
        <v>197</v>
      </c>
      <c r="M60" s="95" t="s">
        <v>198</v>
      </c>
      <c r="N60" s="95" t="s">
        <v>199</v>
      </c>
      <c r="P60" s="35"/>
      <c r="T60" s="32"/>
    </row>
    <row r="61" spans="1: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1: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1: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1: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5" t="s">
        <v>204</v>
      </c>
      <c r="E66" s="95" t="s">
        <v>190</v>
      </c>
      <c r="F66" s="95" t="s">
        <v>191</v>
      </c>
      <c r="G66" s="95" t="s">
        <v>192</v>
      </c>
      <c r="H66" s="95" t="s">
        <v>193</v>
      </c>
      <c r="I66" s="95" t="s">
        <v>194</v>
      </c>
      <c r="J66" s="95" t="s">
        <v>195</v>
      </c>
      <c r="K66" s="95" t="s">
        <v>196</v>
      </c>
      <c r="L66" s="95" t="s">
        <v>197</v>
      </c>
      <c r="M66" s="95" t="s">
        <v>198</v>
      </c>
      <c r="N66" s="95"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3" t="s">
        <v>210</v>
      </c>
      <c r="T81" s="32"/>
    </row>
    <row r="82" spans="4:20" ht="20.100000000000001" customHeight="1" x14ac:dyDescent="0.25">
      <c r="D82" s="95" t="s">
        <v>189</v>
      </c>
      <c r="E82" s="95" t="s">
        <v>190</v>
      </c>
      <c r="F82" s="95" t="s">
        <v>191</v>
      </c>
      <c r="G82" s="95" t="s">
        <v>192</v>
      </c>
      <c r="H82" s="95" t="s">
        <v>193</v>
      </c>
      <c r="I82" s="95" t="s">
        <v>194</v>
      </c>
      <c r="J82" s="95" t="s">
        <v>195</v>
      </c>
      <c r="K82" s="95" t="s">
        <v>196</v>
      </c>
      <c r="L82" s="95" t="s">
        <v>197</v>
      </c>
      <c r="M82" s="95" t="s">
        <v>198</v>
      </c>
      <c r="N82" s="95"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5" t="s">
        <v>204</v>
      </c>
      <c r="E88" s="95" t="s">
        <v>190</v>
      </c>
      <c r="F88" s="95" t="s">
        <v>191</v>
      </c>
      <c r="G88" s="95" t="s">
        <v>192</v>
      </c>
      <c r="H88" s="95" t="s">
        <v>193</v>
      </c>
      <c r="I88" s="95" t="s">
        <v>194</v>
      </c>
      <c r="J88" s="95" t="s">
        <v>195</v>
      </c>
      <c r="K88" s="95" t="s">
        <v>196</v>
      </c>
      <c r="L88" s="95" t="s">
        <v>197</v>
      </c>
      <c r="M88" s="95" t="s">
        <v>198</v>
      </c>
      <c r="N88" s="95"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3" t="s">
        <v>212</v>
      </c>
      <c r="K103" s="26"/>
      <c r="L103" s="26"/>
      <c r="M103" s="26"/>
      <c r="N103" s="26"/>
      <c r="O103" s="26"/>
      <c r="T103" s="32"/>
    </row>
    <row r="104" spans="4:20" ht="20.100000000000001" customHeight="1" x14ac:dyDescent="0.25">
      <c r="D104" s="95" t="s">
        <v>206</v>
      </c>
      <c r="E104" s="95"/>
      <c r="F104" s="95"/>
      <c r="G104" s="95"/>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5" t="s">
        <v>215</v>
      </c>
      <c r="F110" s="95" t="s">
        <v>193</v>
      </c>
      <c r="G110" s="95" t="s">
        <v>194</v>
      </c>
      <c r="H110" s="95"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5" t="s">
        <v>207</v>
      </c>
      <c r="E118" s="95"/>
      <c r="F118" s="95"/>
      <c r="G118" s="95"/>
      <c r="L118" s="96"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5" t="s">
        <v>193</v>
      </c>
      <c r="F124" s="95" t="s">
        <v>194</v>
      </c>
      <c r="G124" s="95"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3" t="s">
        <v>229</v>
      </c>
      <c r="K131" s="26"/>
      <c r="L131" s="26"/>
      <c r="M131" s="26"/>
      <c r="N131" s="26"/>
      <c r="O131" s="26"/>
    </row>
    <row r="132" spans="4:15" ht="20.100000000000001" customHeight="1" x14ac:dyDescent="0.25">
      <c r="D132" s="95" t="s">
        <v>189</v>
      </c>
      <c r="E132" s="95" t="s">
        <v>190</v>
      </c>
      <c r="F132" s="95" t="s">
        <v>191</v>
      </c>
      <c r="G132" s="95" t="s">
        <v>192</v>
      </c>
      <c r="H132" s="95" t="s">
        <v>193</v>
      </c>
      <c r="I132" s="95" t="s">
        <v>194</v>
      </c>
      <c r="J132" s="95" t="s">
        <v>195</v>
      </c>
      <c r="K132" s="95" t="s">
        <v>196</v>
      </c>
      <c r="L132" s="95" t="s">
        <v>197</v>
      </c>
      <c r="M132" s="95" t="s">
        <v>198</v>
      </c>
      <c r="N132" s="95"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5" t="s">
        <v>204</v>
      </c>
      <c r="E138" s="95" t="s">
        <v>190</v>
      </c>
      <c r="F138" s="95" t="s">
        <v>191</v>
      </c>
      <c r="G138" s="95" t="s">
        <v>192</v>
      </c>
      <c r="H138" s="95" t="s">
        <v>193</v>
      </c>
      <c r="I138" s="95" t="s">
        <v>194</v>
      </c>
      <c r="J138" s="95" t="s">
        <v>195</v>
      </c>
      <c r="K138" s="95" t="s">
        <v>196</v>
      </c>
      <c r="L138" s="95" t="s">
        <v>197</v>
      </c>
      <c r="M138" s="95" t="s">
        <v>198</v>
      </c>
      <c r="N138" s="95"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3" t="s">
        <v>231</v>
      </c>
      <c r="K153" s="26"/>
      <c r="L153" s="26"/>
      <c r="M153" s="26"/>
      <c r="N153" s="26"/>
      <c r="O153" s="26"/>
    </row>
    <row r="154" spans="4:15" ht="20.100000000000001" customHeight="1" x14ac:dyDescent="0.25">
      <c r="D154" s="95" t="s">
        <v>189</v>
      </c>
      <c r="E154" s="95" t="s">
        <v>190</v>
      </c>
      <c r="F154" s="95" t="s">
        <v>191</v>
      </c>
      <c r="G154" s="95" t="s">
        <v>192</v>
      </c>
      <c r="H154" s="95" t="s">
        <v>193</v>
      </c>
      <c r="I154" s="95" t="s">
        <v>194</v>
      </c>
      <c r="J154" s="95" t="s">
        <v>195</v>
      </c>
      <c r="K154" s="95" t="s">
        <v>196</v>
      </c>
      <c r="L154" s="95" t="s">
        <v>197</v>
      </c>
      <c r="M154" s="95" t="s">
        <v>198</v>
      </c>
      <c r="N154" s="95"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5" t="s">
        <v>204</v>
      </c>
      <c r="E160" s="95" t="s">
        <v>190</v>
      </c>
      <c r="F160" s="95" t="s">
        <v>191</v>
      </c>
      <c r="G160" s="95" t="s">
        <v>192</v>
      </c>
      <c r="H160" s="95" t="s">
        <v>193</v>
      </c>
      <c r="I160" s="95" t="s">
        <v>194</v>
      </c>
      <c r="J160" s="95" t="s">
        <v>195</v>
      </c>
      <c r="K160" s="95" t="s">
        <v>196</v>
      </c>
      <c r="L160" s="95" t="s">
        <v>197</v>
      </c>
      <c r="M160" s="95" t="s">
        <v>198</v>
      </c>
      <c r="N160" s="95"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3"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5" t="s">
        <v>234</v>
      </c>
      <c r="E179" s="95" t="s">
        <v>235</v>
      </c>
      <c r="L179" s="26"/>
      <c r="M179" s="26"/>
      <c r="N179" s="26"/>
      <c r="O179" s="26"/>
    </row>
    <row r="180" spans="4:15" ht="20.100000000000001" customHeight="1" x14ac:dyDescent="0.25">
      <c r="D180" s="1" t="s">
        <v>93</v>
      </c>
      <c r="E180" s="9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8" t="s">
        <v>240</v>
      </c>
    </row>
    <row r="190" spans="4:15" ht="20.100000000000001" customHeight="1" x14ac:dyDescent="0.25">
      <c r="D190" s="30" t="s">
        <v>241</v>
      </c>
      <c r="E190" s="30" t="s">
        <v>242</v>
      </c>
      <c r="F190" s="30" t="s">
        <v>243</v>
      </c>
      <c r="G190" s="30" t="s">
        <v>244</v>
      </c>
      <c r="H190" s="30" t="s">
        <v>245</v>
      </c>
      <c r="I190" s="30" t="s">
        <v>246</v>
      </c>
      <c r="J190" s="99" t="s">
        <v>247</v>
      </c>
      <c r="K190" s="99" t="s">
        <v>248</v>
      </c>
    </row>
    <row r="191" spans="4:15" ht="20.100000000000001" customHeight="1" x14ac:dyDescent="0.25">
      <c r="D191" s="44" t="s">
        <v>249</v>
      </c>
      <c r="E191" s="100">
        <v>45547</v>
      </c>
      <c r="F191" s="23" t="s">
        <v>196</v>
      </c>
      <c r="G191" s="101"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2"/>
      <c r="G192" s="101"/>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2"/>
      <c r="G193" s="101"/>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2"/>
      <c r="G194" s="101"/>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2"/>
      <c r="G195" s="101"/>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2"/>
      <c r="G196" s="101"/>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2"/>
      <c r="G197" s="101"/>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2"/>
      <c r="G198" s="101"/>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2"/>
      <c r="G199" s="101"/>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3"/>
      <c r="E200" s="103"/>
      <c r="F200" s="102"/>
      <c r="G200" s="104"/>
      <c r="H200" s="102"/>
      <c r="I200" s="105"/>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8"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6">
        <v>45566</v>
      </c>
      <c r="G207" s="30">
        <v>10</v>
      </c>
      <c r="H207" s="30">
        <v>500</v>
      </c>
      <c r="I207" s="25">
        <f t="shared" ref="I207:I216" si="2">G207*H207</f>
        <v>5000</v>
      </c>
      <c r="Q207" s="1"/>
      <c r="R207" s="1"/>
      <c r="Z207" s="91"/>
      <c r="AA207" s="91"/>
    </row>
    <row r="208" spans="4:27" ht="20.100000000000001" customHeight="1" x14ac:dyDescent="0.25">
      <c r="D208" s="44"/>
      <c r="E208" s="23"/>
      <c r="F208" s="106"/>
      <c r="G208" s="30"/>
      <c r="H208" s="30"/>
      <c r="I208" s="25">
        <f t="shared" si="2"/>
        <v>0</v>
      </c>
      <c r="Q208" s="1"/>
      <c r="R208" s="1"/>
      <c r="Z208" s="91"/>
      <c r="AA208" s="91"/>
    </row>
    <row r="209" spans="4:27" ht="20.100000000000001" customHeight="1" x14ac:dyDescent="0.25">
      <c r="D209" s="44"/>
      <c r="E209" s="23"/>
      <c r="F209" s="106"/>
      <c r="G209" s="30"/>
      <c r="H209" s="30"/>
      <c r="I209" s="25">
        <f t="shared" si="2"/>
        <v>0</v>
      </c>
      <c r="Q209" s="1"/>
      <c r="R209" s="1"/>
      <c r="Z209" s="91"/>
      <c r="AA209" s="91"/>
    </row>
    <row r="210" spans="4:27" ht="20.100000000000001" customHeight="1" x14ac:dyDescent="0.25">
      <c r="D210" s="44"/>
      <c r="E210" s="23"/>
      <c r="F210" s="106"/>
      <c r="G210" s="30"/>
      <c r="H210" s="30"/>
      <c r="I210" s="25">
        <f t="shared" si="2"/>
        <v>0</v>
      </c>
      <c r="Q210" s="1"/>
      <c r="R210" s="1"/>
      <c r="Z210" s="91"/>
      <c r="AA210" s="91"/>
    </row>
    <row r="211" spans="4:27" ht="20.100000000000001" customHeight="1" x14ac:dyDescent="0.25">
      <c r="D211" s="44"/>
      <c r="E211" s="23"/>
      <c r="F211" s="106"/>
      <c r="G211" s="30"/>
      <c r="H211" s="30"/>
      <c r="I211" s="25">
        <f t="shared" si="2"/>
        <v>0</v>
      </c>
      <c r="Q211" s="1"/>
      <c r="R211" s="1"/>
      <c r="Z211" s="91"/>
      <c r="AA211" s="91"/>
    </row>
    <row r="212" spans="4:27" ht="20.100000000000001" customHeight="1" x14ac:dyDescent="0.25">
      <c r="D212" s="44"/>
      <c r="E212" s="23"/>
      <c r="F212" s="106"/>
      <c r="G212" s="30"/>
      <c r="H212" s="30"/>
      <c r="I212" s="25">
        <f t="shared" si="2"/>
        <v>0</v>
      </c>
      <c r="Q212" s="1"/>
      <c r="R212" s="1"/>
      <c r="Z212" s="91"/>
      <c r="AA212" s="91"/>
    </row>
    <row r="213" spans="4:27" ht="20.100000000000001" customHeight="1" x14ac:dyDescent="0.25">
      <c r="D213" s="44"/>
      <c r="E213" s="23"/>
      <c r="F213" s="106"/>
      <c r="G213" s="30"/>
      <c r="H213" s="30"/>
      <c r="I213" s="25">
        <f t="shared" si="2"/>
        <v>0</v>
      </c>
      <c r="Q213" s="1"/>
      <c r="R213" s="1"/>
      <c r="Z213" s="91"/>
      <c r="AA213" s="91"/>
    </row>
    <row r="214" spans="4:27" ht="20.100000000000001" customHeight="1" x14ac:dyDescent="0.25">
      <c r="D214" s="44"/>
      <c r="E214" s="23"/>
      <c r="F214" s="106"/>
      <c r="G214" s="30"/>
      <c r="H214" s="30"/>
      <c r="I214" s="25">
        <f t="shared" si="2"/>
        <v>0</v>
      </c>
      <c r="Q214" s="1"/>
      <c r="R214" s="1"/>
      <c r="Z214" s="91"/>
      <c r="AA214" s="91"/>
    </row>
    <row r="215" spans="4:27" ht="20.100000000000001" customHeight="1" x14ac:dyDescent="0.25">
      <c r="D215" s="44"/>
      <c r="E215" s="23"/>
      <c r="F215" s="106"/>
      <c r="G215" s="30"/>
      <c r="H215" s="30"/>
      <c r="I215" s="25">
        <f t="shared" si="2"/>
        <v>0</v>
      </c>
      <c r="Q215" s="1"/>
      <c r="R215" s="1"/>
      <c r="Z215" s="91"/>
      <c r="AA215" s="91"/>
    </row>
    <row r="216" spans="4:27" ht="20.100000000000001" customHeight="1" x14ac:dyDescent="0.25">
      <c r="D216" s="44"/>
      <c r="E216" s="23"/>
      <c r="F216" s="106"/>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8"/>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92" priority="12" operator="lessThan">
      <formula>0</formula>
    </cfRule>
  </conditionalFormatting>
  <conditionalFormatting sqref="F239:F240">
    <cfRule type="cellIs" dxfId="91" priority="11" operator="lessThan">
      <formula>0</formula>
    </cfRule>
  </conditionalFormatting>
  <conditionalFormatting sqref="F244:F245">
    <cfRule type="cellIs" dxfId="90" priority="10" operator="lessThan">
      <formula>0</formula>
    </cfRule>
  </conditionalFormatting>
  <conditionalFormatting sqref="F249:F250">
    <cfRule type="cellIs" dxfId="89" priority="9" operator="lessThan">
      <formula>0</formula>
    </cfRule>
  </conditionalFormatting>
  <conditionalFormatting sqref="F273:F274">
    <cfRule type="cellIs" dxfId="88" priority="8" operator="lessThan">
      <formula>0</formula>
    </cfRule>
  </conditionalFormatting>
  <conditionalFormatting sqref="F278:F279">
    <cfRule type="cellIs" dxfId="87" priority="7" operator="lessThan">
      <formula>0</formula>
    </cfRule>
  </conditionalFormatting>
  <conditionalFormatting sqref="F283:F284">
    <cfRule type="cellIs" dxfId="86" priority="6" operator="lessThan">
      <formula>0</formula>
    </cfRule>
  </conditionalFormatting>
  <conditionalFormatting sqref="H124:K124">
    <cfRule type="cellIs" dxfId="85" priority="4" operator="lessThan">
      <formula>0</formula>
    </cfRule>
  </conditionalFormatting>
  <conditionalFormatting sqref="I130:O131">
    <cfRule type="cellIs" dxfId="84" priority="5" operator="lessThan">
      <formula>0</formula>
    </cfRule>
  </conditionalFormatting>
  <conditionalFormatting sqref="I153:O153">
    <cfRule type="cellIs" dxfId="83" priority="3" operator="lessThan">
      <formula>0</formula>
    </cfRule>
  </conditionalFormatting>
  <conditionalFormatting sqref="K123:K124">
    <cfRule type="cellIs" dxfId="82" priority="2" operator="lessThan">
      <formula>0</formula>
    </cfRule>
  </conditionalFormatting>
  <conditionalFormatting sqref="N121:N123">
    <cfRule type="cellIs" dxfId="81" priority="1" operator="lessThan">
      <formula>0</formula>
    </cfRule>
  </conditionalFormatting>
  <conditionalFormatting sqref="P43:R43">
    <cfRule type="cellIs" dxfId="80" priority="13" operator="lessThan">
      <formula>0</formula>
    </cfRule>
  </conditionalFormatting>
  <dataValidations count="12">
    <dataValidation type="list" allowBlank="1" showInputMessage="1" showErrorMessage="1" sqref="E119" xr:uid="{3D2B0D34-4FB3-460C-951E-FE14CFA5E21C}">
      <formula1>$D$23:$D$34</formula1>
    </dataValidation>
    <dataValidation type="list" allowBlank="1" showInputMessage="1" showErrorMessage="1" sqref="F191:F200 E207:E216" xr:uid="{37290CAB-628C-42D1-B464-5C9B0521245E}">
      <formula1>INDIRECT("Table_LivestockClasses_Beefcattle[Livestock class]")</formula1>
    </dataValidation>
    <dataValidation type="list" allowBlank="1" showInputMessage="1" showErrorMessage="1" sqref="G191:G200" xr:uid="{229D279A-7FBD-4507-89A8-D3D160027CAD}">
      <formula1>INDIRECT(TRIM("Table_SourceData_LivestockProduct_Beefcattle[Product]"))</formula1>
    </dataValidation>
    <dataValidation type="list" allowBlank="1" showInputMessage="1" showErrorMessage="1" sqref="H191:H200" xr:uid="{913E91B8-60B1-4BE1-906F-8CA102300255}">
      <formula1>INDIRECT("Table_ProductRegions_Beefcattle[Region]")</formula1>
    </dataValidation>
    <dataValidation type="list" allowBlank="1" showInputMessage="1" showErrorMessage="1" sqref="E105" xr:uid="{7983A29C-C254-4B66-B2F8-D13C7761BC1A}">
      <formula1>"Spring, Summer, Autumn, Winter"</formula1>
    </dataValidation>
    <dataValidation type="list" allowBlank="1" showInputMessage="1" showErrorMessage="1" sqref="E184" xr:uid="{13CC16D6-B2F5-4E14-8C5D-EEA78BEEDE1C}">
      <formula1>INDIRECT("Table_SourceData_PastureBeef_CropProdSystems[Production system]")</formula1>
    </dataValidation>
    <dataValidation type="list" allowBlank="1" showInputMessage="1" showErrorMessage="1" sqref="E185" xr:uid="{32B4A776-B8D7-42B8-8233-D8293DFA50BC}">
      <formula1>INDIRECT("Table_SourceData_PastureBeef_IrrigationMethods[Irrigation method]")</formula1>
    </dataValidation>
    <dataValidation type="list" allowBlank="1" showInputMessage="1" showErrorMessage="1" sqref="E9" xr:uid="{BA223674-70D8-4B9C-BA26-5449128582B4}">
      <formula1>INDIRECT("Table_SourceData_PastureBeef_FeedIntakeAdjustment[Breed]")</formula1>
    </dataValidation>
    <dataValidation type="list" allowBlank="1" showInputMessage="1" showErrorMessage="1" sqref="E8" xr:uid="{AD22B0B7-59C6-469E-BED9-1A52D59C90D4}">
      <formula1>INDIRECT("Table_SourceData_PastureBeef_Region_" &amp; SUBSTITUTE($E$7, " ", "") &amp; "[Region]")</formula1>
    </dataValidation>
    <dataValidation type="list" allowBlank="1" showInputMessage="1" showErrorMessage="1" sqref="E15 E37 E59 E81" xr:uid="{E7BD7EC2-884F-4657-AD83-274FE473E210}">
      <formula1>INDIRECT("Table_SourceData_Dairy_WjCowsHeifers[Breed]")</formula1>
    </dataValidation>
    <dataValidation type="list" allowBlank="1" showInputMessage="1" showErrorMessage="1" sqref="E238 E243 E248 E282 E277 E272 E177" xr:uid="{1FFC87CB-023D-46A4-8F6F-5559458FA192}">
      <formula1>"Yes, No"</formula1>
    </dataValidation>
    <dataValidation type="list" allowBlank="1" showInputMessage="1" showErrorMessage="1" sqref="D266" xr:uid="{F29F8DEF-326D-4C40-B1B3-5F52F3B723A8}">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5613-D19C-445C-B458-8A0717919D7B}">
  <dimension ref="A1:G55"/>
  <sheetViews>
    <sheetView showGridLines="0"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865</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866</v>
      </c>
    </row>
    <row r="6" spans="1:7" ht="20.100000000000001" customHeight="1" x14ac:dyDescent="0.25"/>
    <row r="7" spans="1:7" ht="20.100000000000001" customHeight="1" x14ac:dyDescent="0.25">
      <c r="D7" s="80" t="s">
        <v>867</v>
      </c>
      <c r="E7" s="80"/>
      <c r="F7" s="80"/>
    </row>
    <row r="8" spans="1:7" ht="20.100000000000001" customHeight="1" x14ac:dyDescent="0.25">
      <c r="A8" s="7" t="s">
        <v>0</v>
      </c>
    </row>
    <row r="9" spans="1:7" ht="20.100000000000001" customHeight="1" x14ac:dyDescent="0.25">
      <c r="A9" s="5" t="str">
        <f>HYPERLINK("#'Input - Enterprise'!A1", "Enterprise")</f>
        <v>Enterprise</v>
      </c>
      <c r="D9" s="1" t="s">
        <v>868</v>
      </c>
      <c r="E9" s="23" t="s">
        <v>869</v>
      </c>
      <c r="F9" s="26" t="s">
        <v>870</v>
      </c>
    </row>
    <row r="10" spans="1:7" ht="20.100000000000001" customHeight="1" x14ac:dyDescent="0.25">
      <c r="A10" s="5" t="str">
        <f>HYPERLINK("#'Input - Site'!A1", "Site")</f>
        <v>Site</v>
      </c>
      <c r="D10" s="1" t="s">
        <v>74</v>
      </c>
      <c r="E10" s="23" t="s">
        <v>322</v>
      </c>
      <c r="F10" s="26" t="s">
        <v>870</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871</v>
      </c>
      <c r="E12" s="86">
        <v>1000</v>
      </c>
      <c r="F12" s="26" t="s">
        <v>872</v>
      </c>
    </row>
    <row r="13" spans="1:7" ht="20.100000000000001" customHeight="1" x14ac:dyDescent="0.25">
      <c r="A13" s="92" t="str">
        <f>HYPERLINK("#'Input - Pasture'!A1", "Pasture")</f>
        <v>Pasture</v>
      </c>
    </row>
    <row r="14" spans="1:7" ht="20.100000000000001" customHeight="1" x14ac:dyDescent="0.25">
      <c r="A14" s="5" t="str">
        <f>HYPERLINK("#'Input - Fertiliser'!A1", "Fertiliser")</f>
        <v>Fertiliser</v>
      </c>
      <c r="D14" s="2" t="s">
        <v>873</v>
      </c>
    </row>
    <row r="15" spans="1:7" ht="20.100000000000001" customHeight="1" x14ac:dyDescent="0.25">
      <c r="A15" s="5" t="str">
        <f>HYPERLINK("#'Input - Fuel'!A1", "Fuel")</f>
        <v>Fuel</v>
      </c>
    </row>
    <row r="16" spans="1:7" ht="20.100000000000001" customHeight="1" x14ac:dyDescent="0.25">
      <c r="A16" s="5" t="str">
        <f>HYPERLINK("#'Input - Electricity'!A1", "Electricity")</f>
        <v>Electricity</v>
      </c>
      <c r="D16" s="242" t="s">
        <v>874</v>
      </c>
      <c r="E16" s="54"/>
      <c r="F16" s="55"/>
    </row>
    <row r="17" spans="1:6" ht="20.100000000000001" customHeight="1" x14ac:dyDescent="0.25">
      <c r="A17" s="5" t="str">
        <f>HYPERLINK("#'Input - Farm Inputs'!A1", "Farm Inputs")</f>
        <v>Farm Inputs</v>
      </c>
      <c r="D17" s="56" t="s">
        <v>875</v>
      </c>
      <c r="E17" s="57"/>
      <c r="F17" s="58"/>
    </row>
    <row r="18" spans="1:6" ht="20.100000000000001" customHeight="1" x14ac:dyDescent="0.25">
      <c r="A18" s="5" t="str">
        <f>HYPERLINK("#'Input - Freight'!A1", "Freight")</f>
        <v>Freight</v>
      </c>
    </row>
    <row r="19" spans="1:6" ht="20.100000000000001" customHeight="1" x14ac:dyDescent="0.25">
      <c r="A19" s="5" t="str">
        <f>HYPERLINK("#'Input - Manure sent off-site'!A1", "Manure sent off-site")</f>
        <v>Manure sent off-site</v>
      </c>
      <c r="D19" s="1" t="s">
        <v>876</v>
      </c>
      <c r="E19" s="86">
        <f>_xlfn.XLOOKUP(E9, Table_SourceData_PastureAttributes[Pasture type],Table_SourceData_PastureAttributes[Average Yield (t DM ha) Yp])</f>
        <v>8.34</v>
      </c>
      <c r="F19" s="26" t="s">
        <v>877</v>
      </c>
    </row>
    <row r="20" spans="1:6" ht="20.100000000000001" customHeight="1" x14ac:dyDescent="0.25">
      <c r="A20" s="5" t="str">
        <f>HYPERLINK("#'Input - Solid waste'!A1", "Solid waste")</f>
        <v>Solid waste</v>
      </c>
      <c r="D20" s="1" t="s">
        <v>878</v>
      </c>
      <c r="E20" s="25">
        <f>E12*E19</f>
        <v>8340</v>
      </c>
      <c r="F20" s="26" t="s">
        <v>879</v>
      </c>
    </row>
    <row r="21" spans="1:6" ht="20.100000000000001" customHeight="1" x14ac:dyDescent="0.25"/>
    <row r="22" spans="1:6" ht="20.100000000000001" customHeight="1" x14ac:dyDescent="0.25"/>
    <row r="23" spans="1:6" ht="20.100000000000001" customHeight="1" x14ac:dyDescent="0.25">
      <c r="A23" s="6" t="s">
        <v>2</v>
      </c>
      <c r="D23" s="2" t="s">
        <v>880</v>
      </c>
    </row>
    <row r="24" spans="1:6" ht="20.100000000000001" customHeight="1" x14ac:dyDescent="0.25">
      <c r="A24" s="5" t="str">
        <f>HYPERLINK("#'3.2.1.1-2 Enteric Methane'!A1", "3.2.1.1-2 Enteric methane")</f>
        <v>3.2.1.1-2 Enteric methane</v>
      </c>
    </row>
    <row r="25" spans="1:6" ht="20.100000000000001" customHeight="1" x14ac:dyDescent="0.25">
      <c r="A25" s="5" t="str">
        <f>HYPERLINK("#'4.2.1.1-2 Methane'!A1", "4.2.1.1-2 Manure methane")</f>
        <v>4.2.1.1-2 Manure methane</v>
      </c>
      <c r="D25" s="1" t="s">
        <v>881</v>
      </c>
      <c r="E25" s="86">
        <v>500</v>
      </c>
      <c r="F25" s="26" t="s">
        <v>872</v>
      </c>
    </row>
    <row r="26" spans="1:6" ht="20.100000000000001" customHeight="1" x14ac:dyDescent="0.25">
      <c r="A26" s="5" t="str">
        <f>HYPERLINK("#'4.2.1.3-4 Soil direct N20'!A1", "4.2.1.3-4 Soil direct N2O")</f>
        <v>4.2.1.3-4 Soil direct N2O</v>
      </c>
    </row>
    <row r="27" spans="1:6" ht="20.100000000000001" customHeight="1" x14ac:dyDescent="0.25">
      <c r="A27" s="5" t="str">
        <f>HYPERLINK("#'4.2.1.5-6 Soil Atmos Dep'!A1", "4.2.1.5-6 Soil atm. deposition")</f>
        <v>4.2.1.5-6 Soil atm. deposition</v>
      </c>
    </row>
    <row r="28" spans="1:6" ht="20.100000000000001" customHeight="1" x14ac:dyDescent="0.25">
      <c r="A28" s="5" t="str">
        <f>HYPERLINK("#'4.2.1.7-8 Soil leach runoff'!A1", "4.2.1.7-8 Soil leach &amp; runoff")</f>
        <v>4.2.1.7-8 Soil leach &amp; runoff</v>
      </c>
    </row>
    <row r="29" spans="1:6" ht="20.100000000000001" customHeight="1" x14ac:dyDescent="0.25">
      <c r="A29" s="5" t="str">
        <f>HYPERLINK("#'5.1.1.1-2 Inorganic fert N2O'!A1", "5.1.1.1-2 Inorganic fert N2O")</f>
        <v>5.1.1.1-2 Inorganic fert N2O</v>
      </c>
    </row>
    <row r="30" spans="1:6" ht="20.100000000000001" customHeight="1" x14ac:dyDescent="0.25">
      <c r="A30" s="5" t="str">
        <f>HYPERLINK("#'5.1.1.3-4 Inorganic fert CO2'!A1", "5.1.1.3-4 Inorganic fert CO2")</f>
        <v>5.1.1.3-4 Inorganic fert CO2</v>
      </c>
    </row>
    <row r="31" spans="1:6" ht="20.100000000000001" customHeight="1" x14ac:dyDescent="0.25">
      <c r="A31" s="5" t="str">
        <f>HYPERLINK("#'5.2.1.1-2 Organic Fert N2O'!A1", "5.2.1.1-2 Organic fert N2O")</f>
        <v>5.2.1.1-2 Organic fert N2O</v>
      </c>
    </row>
    <row r="32" spans="1:6" ht="20.100000000000001" customHeight="1" x14ac:dyDescent="0.25">
      <c r="A32" s="5" t="str">
        <f>HYPERLINK("#'5.3.1.1-2 Lime CO2'!A1", "5.3.1.1-2 Lime CO2")</f>
        <v>5.3.1.1-2 Lime CO2</v>
      </c>
    </row>
    <row r="33" spans="1:1" ht="20.100000000000001" customHeight="1" x14ac:dyDescent="0.25">
      <c r="A33" s="5" t="str">
        <f>HYPERLINK("#'5.4.1.1-4 Atmos deposition'!A1", "5.4.1.1-4 Atmos. deposition")</f>
        <v>5.4.1.1-4 Atmos. deposition</v>
      </c>
    </row>
    <row r="34" spans="1:1" ht="20.100000000000001" customHeight="1" x14ac:dyDescent="0.25">
      <c r="A34" s="5" t="str">
        <f>HYPERLINK("#'5.5.1.1-2 Leaching and runoff'!A1", "5.5.1.1-2 Leaching &amp; runoff")</f>
        <v>5.5.1.1-2 Leaching &amp; runoff</v>
      </c>
    </row>
    <row r="35" spans="1:1" ht="20.100000000000001" customHeight="1" x14ac:dyDescent="0.25">
      <c r="A35" s="5" t="str">
        <f>HYPERLINK("#'6.2.1.1-2 Pasture residue N2O'!A1", "6.2.1.1-2 Pasture residue N2O")</f>
        <v>6.2.1.1-2 Pasture residue N2O</v>
      </c>
    </row>
    <row r="36" spans="1:1" ht="20.100000000000001" customHeight="1" x14ac:dyDescent="0.25">
      <c r="A36" s="5" t="str">
        <f>HYPERLINK("#'6.3.1.1-2 Leach runoff pasture'!A1", "6.3.1.1-2 Leach &amp; runoff (pasture)")</f>
        <v>6.3.1.1-2 Leach &amp; runoff (pasture)</v>
      </c>
    </row>
    <row r="37" spans="1:1" ht="20.100000000000001" customHeight="1" x14ac:dyDescent="0.25">
      <c r="A37" s="5" t="str">
        <f>HYPERLINK("#'8.1.1.1-2 Transport fuel'!A1", "8.1.1.1-2 Transport fuel")</f>
        <v>8.1.1.1-2 Transport fuel</v>
      </c>
    </row>
    <row r="38" spans="1:1" ht="20.100000000000001" customHeight="1" x14ac:dyDescent="0.25">
      <c r="A38" s="5" t="str">
        <f>HYPERLINK("#'8.2.1.1-2 Stationary fuel'!A1", "8.2.1.1-2 Stationary fuel")</f>
        <v>8.2.1.1-2 Stationary fuel</v>
      </c>
    </row>
    <row r="39" spans="1:1" ht="20.100000000000001" customHeight="1" x14ac:dyDescent="0.25">
      <c r="A39" s="5" t="str">
        <f>HYPERLINK("#'14.1.1-2 Purchased electricity'!A1", "14.1.1-2 Purchased electricity")</f>
        <v>14.1.1-2 Purchased electricity</v>
      </c>
    </row>
    <row r="40" spans="1:1" x14ac:dyDescent="0.25">
      <c r="A40" s="5" t="str">
        <f>HYPERLINK("#'15 Scope 3'!A1", "15 Scope 3")</f>
        <v>15 Scope 3</v>
      </c>
    </row>
    <row r="41" spans="1:1" x14ac:dyDescent="0.25">
      <c r="A41" s="5" t="str">
        <f>HYPERLINK("#'Calcs - Manure sent off-site'!A1", "Calcs - Manure sent off-site")</f>
        <v>Calcs - Manure sent off-site</v>
      </c>
    </row>
    <row r="42" spans="1:1" x14ac:dyDescent="0.25">
      <c r="A42" s="5" t="str">
        <f>HYPERLINK("#'10.1.1-2 Solid waste treatment'!A1", "10.1.1-2 Solid waste treatment")</f>
        <v>10.1.1-2 Solid waste treatment</v>
      </c>
    </row>
    <row r="45" spans="1:1" x14ac:dyDescent="0.25">
      <c r="A45" s="94" t="s">
        <v>1</v>
      </c>
    </row>
    <row r="46" spans="1:1" x14ac:dyDescent="0.25">
      <c r="A46" s="5" t="str">
        <f>HYPERLINK("#'Constants - Pasture Beef'!A1", "Constants - Pasture Beef")</f>
        <v>Constants - Pasture Beef</v>
      </c>
    </row>
    <row r="47" spans="1:1" x14ac:dyDescent="0.25">
      <c r="A47" s="5" t="str">
        <f>HYPERLINK("#'Constants - Ag Residue'!A1", "Constants - Ag residue")</f>
        <v>Constants - Ag residue</v>
      </c>
    </row>
    <row r="48" spans="1:1"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Common'!A1", "Constants - Common")</f>
        <v>Constants - Common</v>
      </c>
    </row>
    <row r="54" spans="1:1" x14ac:dyDescent="0.25">
      <c r="A54" s="5" t="str">
        <f>HYPERLINK("#'Acknowledgements'!A1", "Acknowledgements")</f>
        <v>Acknowledgements</v>
      </c>
    </row>
    <row r="55" spans="1:1" x14ac:dyDescent="0.25">
      <c r="A55" s="5" t="str">
        <f>HYPERLINK("#'Constants - Solid Waste'!A1", "Constants - Solid Waste")</f>
        <v>Constants - Solid Waste</v>
      </c>
    </row>
  </sheetData>
  <conditionalFormatting sqref="D16:G16">
    <cfRule type="expression" dxfId="79" priority="1">
      <formula>$D$24&gt;$D$11</formula>
    </cfRule>
  </conditionalFormatting>
  <dataValidations count="2">
    <dataValidation type="list" allowBlank="1" showInputMessage="1" showErrorMessage="1" sqref="E10" xr:uid="{8D0A47AE-D77C-495C-BC7F-17F060FBDC28}">
      <formula1>INDIRECT("Table_SourceData_Fertiliser_IrrigationMethods[Irrigation method]")</formula1>
    </dataValidation>
    <dataValidation type="list" allowBlank="1" showInputMessage="1" showErrorMessage="1" sqref="E9" xr:uid="{8FC65B16-4068-4263-9F93-3340D7ADD324}">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71D50-E086-48DF-AA31-135FA9782662}">
  <dimension ref="A1:Y366"/>
  <sheetViews>
    <sheetView showGridLines="0"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row>
    <row r="6" spans="1:25" ht="20.100000000000001" customHeight="1" x14ac:dyDescent="0.25">
      <c r="D6" s="1" t="s">
        <v>308</v>
      </c>
      <c r="E6" s="23" t="s">
        <v>466</v>
      </c>
      <c r="F6" s="26" t="s">
        <v>111</v>
      </c>
    </row>
    <row r="7" spans="1:25" ht="20.100000000000001" customHeight="1" x14ac:dyDescent="0.25">
      <c r="D7" s="1" t="s">
        <v>467</v>
      </c>
      <c r="E7" s="23" t="s">
        <v>468</v>
      </c>
      <c r="F7" s="26" t="s">
        <v>111</v>
      </c>
    </row>
    <row r="8" spans="1:25" ht="20.100000000000001" customHeight="1" x14ac:dyDescent="0.25">
      <c r="A8" s="7" t="s">
        <v>0</v>
      </c>
      <c r="D8" s="1" t="s">
        <v>74</v>
      </c>
      <c r="E8" s="23" t="s">
        <v>238</v>
      </c>
      <c r="F8" s="26" t="s">
        <v>111</v>
      </c>
    </row>
    <row r="9" spans="1:25" ht="20.100000000000001" customHeight="1" x14ac:dyDescent="0.25">
      <c r="A9" s="5" t="str">
        <f>HYPERLINK("#'Input - Enterprise'!A1", "Enterprise")</f>
        <v>Enterprise</v>
      </c>
      <c r="D9" s="1" t="s">
        <v>469</v>
      </c>
      <c r="E9" s="86">
        <v>100</v>
      </c>
      <c r="F9" s="26" t="s">
        <v>470</v>
      </c>
    </row>
    <row r="10" spans="1:25" ht="20.100000000000001" customHeight="1" x14ac:dyDescent="0.25">
      <c r="A10" s="5" t="str">
        <f>HYPERLINK("#'Input - Site'!A1", "Site")</f>
        <v>Site</v>
      </c>
    </row>
    <row r="11" spans="1:25" ht="20.100000000000001" customHeight="1" x14ac:dyDescent="0.25">
      <c r="A11" s="5" t="str">
        <f>HYPERLINK("#'Input - Pasture Beef'!A1", "Pasture Beef")</f>
        <v>Pasture Beef</v>
      </c>
      <c r="D11" s="2" t="s">
        <v>471</v>
      </c>
      <c r="E11" s="35"/>
      <c r="F11" s="35"/>
      <c r="G11" s="35"/>
      <c r="H11" s="35"/>
      <c r="I11" s="35"/>
      <c r="J11" s="35"/>
      <c r="K11" s="35"/>
      <c r="L11" s="35"/>
      <c r="M11" s="35"/>
    </row>
    <row r="12" spans="1:25" ht="20.100000000000001" customHeight="1" x14ac:dyDescent="0.25">
      <c r="A12" s="5" t="str">
        <f>HYPERLINK("#'Input - Pasture Beef (Enteric)'!A1", "Pasture Beef (Enteric)")</f>
        <v>Pasture Beef (Enteric)</v>
      </c>
      <c r="D12" s="8"/>
      <c r="E12" s="8"/>
      <c r="F12" s="8"/>
      <c r="G12" s="8"/>
      <c r="H12" s="8"/>
      <c r="I12" s="8"/>
      <c r="J12" s="8"/>
      <c r="K12" s="8"/>
      <c r="L12" s="8"/>
      <c r="M12" s="8"/>
    </row>
    <row r="13" spans="1:25" ht="20.100000000000001" customHeight="1" x14ac:dyDescent="0.25">
      <c r="A13" s="5" t="str">
        <f>HYPERLINK("#'Input - Pasture'!A1", "Pasture")</f>
        <v>Pasture</v>
      </c>
      <c r="D13" s="137" t="s">
        <v>472</v>
      </c>
      <c r="E13" s="54"/>
      <c r="F13" s="54"/>
      <c r="G13" s="54"/>
      <c r="H13" s="55"/>
      <c r="I13" s="138"/>
      <c r="J13" s="139"/>
      <c r="K13" s="140"/>
      <c r="L13" s="140"/>
      <c r="M13" s="140"/>
    </row>
    <row r="14" spans="1:25" ht="20.100000000000001" customHeight="1" x14ac:dyDescent="0.25">
      <c r="A14" s="92" t="str">
        <f>HYPERLINK("#'Input - Fertiliser'!A1", "Fertiliser")</f>
        <v>Fertiliser</v>
      </c>
      <c r="D14" s="56" t="s">
        <v>473</v>
      </c>
      <c r="E14" s="57"/>
      <c r="F14" s="57"/>
      <c r="G14" s="58"/>
      <c r="H14" s="141"/>
      <c r="I14" s="8"/>
      <c r="J14" s="8"/>
      <c r="K14" s="8"/>
      <c r="L14" s="8"/>
      <c r="M14" s="8"/>
    </row>
    <row r="15" spans="1:25" ht="20.100000000000001" customHeight="1" x14ac:dyDescent="0.25">
      <c r="A15" s="5" t="str">
        <f>HYPERLINK("#'Input - Fuel'!A1", "Fuel")</f>
        <v>Fuel</v>
      </c>
      <c r="D15" s="8"/>
      <c r="E15" s="8"/>
      <c r="F15" s="8"/>
      <c r="G15" s="8"/>
      <c r="H15" s="8"/>
      <c r="I15" s="8"/>
      <c r="J15" s="8"/>
      <c r="K15" s="8"/>
      <c r="L15" s="8"/>
      <c r="M15" s="8"/>
    </row>
    <row r="16" spans="1:25" ht="20.100000000000001" customHeight="1" x14ac:dyDescent="0.25">
      <c r="A16" s="5" t="str">
        <f>HYPERLINK("#'Input - Electricity'!A1", "Electricity")</f>
        <v>Electricity</v>
      </c>
      <c r="D16" s="93" t="s">
        <v>474</v>
      </c>
      <c r="E16" s="8"/>
      <c r="F16" s="8"/>
      <c r="G16" s="8"/>
      <c r="H16" s="8"/>
      <c r="I16" s="8"/>
      <c r="J16" s="8"/>
      <c r="K16" s="8"/>
      <c r="L16" s="8"/>
      <c r="M16" s="8"/>
    </row>
    <row r="17" spans="1:24" ht="36" customHeight="1" x14ac:dyDescent="0.25">
      <c r="A17" s="5" t="str">
        <f>HYPERLINK("#'Input - Farm Inputs'!A1", "Farm Inputs")</f>
        <v>Farm Inputs</v>
      </c>
      <c r="D17" s="142" t="s">
        <v>475</v>
      </c>
      <c r="E17" s="143" t="s">
        <v>476</v>
      </c>
      <c r="F17" s="144" t="s">
        <v>477</v>
      </c>
      <c r="G17" s="144" t="s">
        <v>478</v>
      </c>
      <c r="H17" s="143" t="s">
        <v>479</v>
      </c>
      <c r="I17" s="143" t="s">
        <v>480</v>
      </c>
      <c r="J17" s="142" t="s">
        <v>481</v>
      </c>
      <c r="K17" s="142" t="s">
        <v>482</v>
      </c>
      <c r="L17" s="142" t="s">
        <v>483</v>
      </c>
      <c r="M17" s="142" t="s">
        <v>484</v>
      </c>
      <c r="N17" s="142" t="s">
        <v>485</v>
      </c>
      <c r="O17" s="142" t="s">
        <v>486</v>
      </c>
      <c r="P17" s="142" t="s">
        <v>487</v>
      </c>
      <c r="Q17" s="142" t="s">
        <v>488</v>
      </c>
      <c r="R17" s="142" t="s">
        <v>489</v>
      </c>
      <c r="S17" s="142" t="s">
        <v>490</v>
      </c>
      <c r="T17" s="142" t="s">
        <v>491</v>
      </c>
      <c r="U17" s="142" t="s">
        <v>492</v>
      </c>
      <c r="V17" s="142" t="s">
        <v>493</v>
      </c>
      <c r="W17" s="145" t="s">
        <v>494</v>
      </c>
      <c r="X17" s="145" t="s">
        <v>495</v>
      </c>
    </row>
    <row r="18" spans="1:24" ht="36" customHeight="1" x14ac:dyDescent="0.25">
      <c r="A18" s="5" t="str">
        <f>HYPERLINK("#'Input - Freight'!A1", "Freight")</f>
        <v>Freight</v>
      </c>
      <c r="D18" s="101" t="s">
        <v>496</v>
      </c>
      <c r="E18" s="146">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6">
        <f>$E$9</f>
        <v>100</v>
      </c>
      <c r="I18" s="147">
        <f>(Table_Input_InorganicFertiliser_Brands[[#This Row],[Amount applied per hectare]]*Table_Input_InorganicFertiliser_Brands[[#This Row],[Density]])*Table_Input_InorganicFertiliser_Brands[[#This Row],[Application area (ha)]]</f>
        <v>12600</v>
      </c>
      <c r="J18" s="14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7"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HYPERLINK("#'Input - Manure sent off-site'!A1", "Manure sent off-site")</f>
        <v>Manure sent off-site</v>
      </c>
      <c r="D19" s="101" t="s">
        <v>497</v>
      </c>
      <c r="E19" s="146">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6">
        <f>$E$9</f>
        <v>100</v>
      </c>
      <c r="I19" s="147">
        <f>(Table_Input_InorganicFertiliser_Brands[[#This Row],[Amount applied per hectare]]*Table_Input_InorganicFertiliser_Brands[[#This Row],[Density]])*Table_Input_InorganicFertiliser_Brands[[#This Row],[Application area (ha)]]</f>
        <v>12850</v>
      </c>
      <c r="J19" s="14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7"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7"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7"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7"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7" t="str">
        <f>_xlfn.XLOOKUP(Table_Input_InorganicFertiliser_Brands[[#This Row],[Product (select)]],FertiliserProducts[Product name],FertiliserProducts[Urea source])</f>
        <v/>
      </c>
      <c r="X19" s="147" t="str">
        <f>_xlfn.XLOOKUP(Table_Input_InorganicFertiliser_Brands[[#This Row],[Product (select)]],FertiliserProducts[Product name],FertiliserProducts[Ammonia source])</f>
        <v/>
      </c>
    </row>
    <row r="20" spans="1:24" ht="36" customHeight="1" x14ac:dyDescent="0.25">
      <c r="A20" s="5" t="str">
        <f>HYPERLINK("#'Input - Solid waste'!A1", "Solid waste")</f>
        <v>Solid waste</v>
      </c>
      <c r="D20" s="101" t="s">
        <v>497</v>
      </c>
      <c r="E20" s="146">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6">
        <f>$E$9</f>
        <v>100</v>
      </c>
      <c r="I20" s="147">
        <f>(Table_Input_InorganicFertiliser_Brands[[#This Row],[Amount applied per hectare]]*Table_Input_InorganicFertiliser_Brands[[#This Row],[Density]])*Table_Input_InorganicFertiliser_Brands[[#This Row],[Application area (ha)]]</f>
        <v>12850</v>
      </c>
      <c r="J20" s="14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7"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7"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7" t="str">
        <f>_xlfn.XLOOKUP(Table_Input_InorganicFertiliser_Brands[[#This Row],[Product (select)]],FertiliserProducts[Product name],FertiliserProducts[Urea source])</f>
        <v/>
      </c>
      <c r="X20" s="147" t="str">
        <f>_xlfn.XLOOKUP(Table_Input_InorganicFertiliser_Brands[[#This Row],[Product (select)]],FertiliserProducts[Product name],FertiliserProducts[Ammonia source])</f>
        <v/>
      </c>
    </row>
    <row r="21" spans="1:24" ht="36" customHeight="1" x14ac:dyDescent="0.25">
      <c r="D21" s="101" t="s">
        <v>498</v>
      </c>
      <c r="E21" s="146">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6">
        <f>$E$9</f>
        <v>100</v>
      </c>
      <c r="I21" s="147">
        <f>(Table_Input_InorganicFertiliser_Brands[[#This Row],[Amount applied per hectare]]*Table_Input_InorganicFertiliser_Brands[[#This Row],[Density]])*Table_Input_InorganicFertiliser_Brands[[#This Row],[Application area (ha)]]</f>
        <v>12600</v>
      </c>
      <c r="J21" s="147"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7"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7"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7"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7"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7"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7"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7"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7"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7"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7"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7"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7" t="str">
        <f>_xlfn.XLOOKUP(Table_Input_InorganicFertiliser_Brands[[#This Row],[Product (select)]],FertiliserProducts[Product name],FertiliserProducts[Urea source])</f>
        <v/>
      </c>
      <c r="X21" s="147" t="str">
        <f>_xlfn.XLOOKUP(Table_Input_InorganicFertiliser_Brands[[#This Row],[Product (select)]],FertiliserProducts[Product name],FertiliserProducts[Ammonia source])</f>
        <v/>
      </c>
    </row>
    <row r="22" spans="1:24" ht="36" customHeight="1" x14ac:dyDescent="0.25">
      <c r="D22" s="101" t="s">
        <v>499</v>
      </c>
      <c r="E22" s="146">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6">
        <f>$E$9</f>
        <v>100</v>
      </c>
      <c r="I22" s="147">
        <f>(Table_Input_InorganicFertiliser_Brands[[#This Row],[Amount applied per hectare]]*Table_Input_InorganicFertiliser_Brands[[#This Row],[Density]])*Table_Input_InorganicFertiliser_Brands[[#This Row],[Application area (ha)]]</f>
        <v>15000</v>
      </c>
      <c r="J22" s="147"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7"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7"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7"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7"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7"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7"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7"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7"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7"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7"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7"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7" t="str">
        <f>_xlfn.XLOOKUP(Table_Input_InorganicFertiliser_Brands[[#This Row],[Product (select)]],FertiliserProducts[Product name],FertiliserProducts[Urea source])</f>
        <v/>
      </c>
      <c r="X22" s="147" t="str">
        <f>_xlfn.XLOOKUP(Table_Input_InorganicFertiliser_Brands[[#This Row],[Product (select)]],FertiliserProducts[Product name],FertiliserProducts[Ammonia source])</f>
        <v/>
      </c>
    </row>
    <row r="23" spans="1:24" ht="36" customHeight="1" x14ac:dyDescent="0.25">
      <c r="A23" s="6" t="s">
        <v>2</v>
      </c>
      <c r="D23" s="148"/>
      <c r="E23" s="149"/>
      <c r="F23" s="150"/>
      <c r="G23" s="150"/>
      <c r="H23" s="150"/>
      <c r="I23" s="150"/>
      <c r="J23" s="151"/>
      <c r="K23" s="151"/>
      <c r="L23" s="152"/>
      <c r="M23" s="152"/>
      <c r="N23" s="153"/>
      <c r="O23" s="153"/>
      <c r="P23" s="153"/>
      <c r="Q23" s="153"/>
      <c r="R23" s="153"/>
      <c r="S23" s="153"/>
      <c r="T23" s="153"/>
      <c r="U23" s="153"/>
      <c r="V23" s="153"/>
      <c r="W23" s="153"/>
      <c r="X23" s="153"/>
    </row>
    <row r="24" spans="1:24" ht="36" customHeight="1" x14ac:dyDescent="0.25">
      <c r="A24" s="5" t="str">
        <f>HYPERLINK("#'3.2.1.1-2 Enteric Methane'!A1", "3.2.1.1-2 Enteric methane")</f>
        <v>3.2.1.1-2 Enteric methane</v>
      </c>
      <c r="D24" s="154" t="s">
        <v>500</v>
      </c>
      <c r="E24" s="155"/>
      <c r="F24" s="155"/>
      <c r="G24" s="155"/>
      <c r="H24" s="155"/>
      <c r="I24" s="155"/>
      <c r="J24" s="155"/>
      <c r="K24" s="155"/>
      <c r="L24" s="155"/>
      <c r="M24" s="155"/>
      <c r="N24" s="153"/>
      <c r="O24" s="153"/>
      <c r="P24" s="153"/>
      <c r="Q24" s="153"/>
      <c r="R24" s="153"/>
      <c r="S24" s="153"/>
      <c r="T24" s="153"/>
      <c r="V24" s="153"/>
      <c r="W24" s="153"/>
      <c r="X24" s="153"/>
    </row>
    <row r="25" spans="1:24" ht="36" customHeight="1" x14ac:dyDescent="0.25">
      <c r="A25" s="5" t="str">
        <f>HYPERLINK("#'4.2.1.1-2 Methane'!A1", "4.2.1.1-2 Manure methane")</f>
        <v>4.2.1.1-2 Manure methane</v>
      </c>
      <c r="D25" s="143" t="s">
        <v>501</v>
      </c>
      <c r="E25" s="143" t="s">
        <v>502</v>
      </c>
      <c r="F25" s="143" t="s">
        <v>479</v>
      </c>
      <c r="G25" s="143" t="s">
        <v>480</v>
      </c>
      <c r="H25" s="143" t="s">
        <v>503</v>
      </c>
      <c r="I25" s="143" t="s">
        <v>482</v>
      </c>
      <c r="J25" s="143" t="s">
        <v>483</v>
      </c>
      <c r="K25" s="143" t="s">
        <v>484</v>
      </c>
      <c r="L25" s="143" t="s">
        <v>485</v>
      </c>
      <c r="M25" s="143" t="s">
        <v>486</v>
      </c>
      <c r="N25" s="143" t="s">
        <v>487</v>
      </c>
      <c r="O25" s="143" t="s">
        <v>488</v>
      </c>
      <c r="P25" s="143" t="s">
        <v>493</v>
      </c>
      <c r="Q25" s="145" t="s">
        <v>504</v>
      </c>
      <c r="R25" s="145" t="s">
        <v>505</v>
      </c>
      <c r="S25" s="153"/>
      <c r="T25" s="153"/>
      <c r="V25" s="153"/>
      <c r="W25" s="153"/>
      <c r="X25" s="153"/>
    </row>
    <row r="26" spans="1:24" ht="36" customHeight="1" x14ac:dyDescent="0.25">
      <c r="A26" s="5" t="str">
        <f>HYPERLINK("#'4.2.1.3-4 Soil direct N20'!A1", "4.2.1.3-4 Soil direct N2O")</f>
        <v>4.2.1.3-4 Soil direct N2O</v>
      </c>
      <c r="D26" s="44" t="s">
        <v>506</v>
      </c>
      <c r="E26" s="143">
        <v>100</v>
      </c>
      <c r="F26" s="146">
        <f>$E$9</f>
        <v>100</v>
      </c>
      <c r="G26" s="147">
        <f>Table_Input_InorganicFertiliser_Custom[[#This Row],[Amount applied (kg / ha)]]*Table_Input_InorganicFertiliser_Custom[[#This Row],[Application area (ha)]]</f>
        <v>10000</v>
      </c>
      <c r="H26" s="156" t="s">
        <v>507</v>
      </c>
      <c r="I26" s="157">
        <v>0.5</v>
      </c>
      <c r="J26" s="156" t="s">
        <v>508</v>
      </c>
      <c r="K26" s="157">
        <v>0.2</v>
      </c>
      <c r="L26" s="156" t="s">
        <v>509</v>
      </c>
      <c r="M26" s="157">
        <v>0.2</v>
      </c>
      <c r="N26" s="158" t="s">
        <v>510</v>
      </c>
      <c r="O26" s="28">
        <v>0.1</v>
      </c>
      <c r="P26" s="1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HYPERLINK("#'4.2.1.5-6 Soil Atmos Dep'!A1", "4.2.1.5-6 Soil atm. deposition")</f>
        <v>4.2.1.5-6 Soil atm. deposition</v>
      </c>
      <c r="D27" s="44" t="s">
        <v>511</v>
      </c>
      <c r="E27" s="143">
        <v>100</v>
      </c>
      <c r="F27" s="159">
        <f>$E$9</f>
        <v>100</v>
      </c>
      <c r="G27" s="147">
        <f>Table_Input_InorganicFertiliser_Custom[[#This Row],[Amount applied (kg / ha)]]*Table_Input_InorganicFertiliser_Custom[[#This Row],[Application area (ha)]]</f>
        <v>10000</v>
      </c>
      <c r="H27" s="156" t="s">
        <v>512</v>
      </c>
      <c r="I27" s="160">
        <v>1</v>
      </c>
      <c r="J27" s="156"/>
      <c r="K27" s="160"/>
      <c r="L27" s="156"/>
      <c r="M27" s="160"/>
      <c r="N27" s="158"/>
      <c r="O27" s="28"/>
      <c r="P27" s="1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HYPERLINK("#'4.2.1.7-8 Soil leach runoff'!A1", "4.2.1.7-8 Soil leach &amp; runoff")</f>
        <v>4.2.1.7-8 Soil leach &amp; runoff</v>
      </c>
      <c r="D28" s="44" t="s">
        <v>513</v>
      </c>
      <c r="E28" s="143">
        <v>100</v>
      </c>
      <c r="F28" s="159">
        <f>$E$9</f>
        <v>100</v>
      </c>
      <c r="G28" s="147">
        <f>Table_Input_InorganicFertiliser_Custom[[#This Row],[Amount applied (kg / ha)]]*Table_Input_InorganicFertiliser_Custom[[#This Row],[Application area (ha)]]</f>
        <v>10000</v>
      </c>
      <c r="H28" s="156" t="s">
        <v>514</v>
      </c>
      <c r="I28" s="160">
        <v>0.5</v>
      </c>
      <c r="J28" s="156"/>
      <c r="K28" s="160"/>
      <c r="L28" s="156"/>
      <c r="M28" s="160"/>
      <c r="N28" s="158"/>
      <c r="O28" s="28"/>
      <c r="P28" s="1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HYPERLINK("#'5.1.1.1-2 Inorganic fert N2O'!A1", "5.1.1.1-2 Inorganic fert N2O")</f>
        <v>5.1.1.1-2 Inorganic fert N2O</v>
      </c>
      <c r="V29" s="88"/>
    </row>
    <row r="30" spans="1:24" ht="20.100000000000001" customHeight="1" x14ac:dyDescent="0.25">
      <c r="A30" s="5" t="str">
        <f>HYPERLINK("#'5.1.1.3-4 Inorganic fert CO2'!A1", "5.1.1.3-4 Inorganic fert CO2")</f>
        <v>5.1.1.3-4 Inorganic fert CO2</v>
      </c>
      <c r="D30" s="2" t="s">
        <v>515</v>
      </c>
      <c r="E30" s="35"/>
      <c r="F30" s="35"/>
      <c r="G30" s="35"/>
      <c r="H30" s="35"/>
      <c r="I30" s="35"/>
      <c r="J30" s="35"/>
      <c r="K30" s="8"/>
      <c r="L30" s="8"/>
      <c r="M30" s="8"/>
    </row>
    <row r="31" spans="1:24" ht="20.100000000000001" customHeight="1" x14ac:dyDescent="0.25">
      <c r="A31" s="5" t="str">
        <f>HYPERLINK("#'5.2.1.1-2 Organic Fert N2O'!A1", "5.2.1.1-2 Organic fert N2O")</f>
        <v>5.2.1.1-2 Organic fert N2O</v>
      </c>
      <c r="D31" s="8"/>
      <c r="E31" s="8"/>
      <c r="F31" s="8"/>
      <c r="G31" s="8"/>
      <c r="H31" s="8"/>
      <c r="I31" s="8"/>
      <c r="J31" s="8"/>
      <c r="K31" s="8"/>
      <c r="L31" s="8"/>
      <c r="M31" s="35"/>
    </row>
    <row r="32" spans="1:24" ht="30" customHeight="1" x14ac:dyDescent="0.25">
      <c r="A32" s="5" t="str">
        <f>HYPERLINK("#'5.3.1.1-2 Lime CO2'!A1", "5.3.1.1-2 Lime CO2")</f>
        <v>5.3.1.1-2 Lime CO2</v>
      </c>
      <c r="D32" s="137" t="s">
        <v>516</v>
      </c>
      <c r="E32" s="54"/>
      <c r="F32" s="55"/>
      <c r="G32" s="137"/>
      <c r="H32" s="55"/>
      <c r="I32" s="35"/>
      <c r="J32" s="35"/>
      <c r="K32" s="8"/>
      <c r="L32" s="8"/>
      <c r="M32" s="8"/>
    </row>
    <row r="33" spans="1:25" ht="36" customHeight="1" x14ac:dyDescent="0.25">
      <c r="A33" s="5" t="str">
        <f>HYPERLINK("#'5.4.1.1-4 Atmos deposition'!A1", "5.4.1.1-4 Atmos. deposition")</f>
        <v>5.4.1.1-4 Atmos. deposition</v>
      </c>
      <c r="D33" s="161" t="s">
        <v>517</v>
      </c>
      <c r="E33" s="162"/>
      <c r="F33" s="163"/>
      <c r="G33" s="161"/>
      <c r="H33" s="163"/>
      <c r="I33" s="8"/>
      <c r="J33" s="8"/>
      <c r="K33" s="8"/>
      <c r="L33" s="8"/>
      <c r="M33" s="35"/>
    </row>
    <row r="34" spans="1:25" ht="36" customHeight="1" x14ac:dyDescent="0.25">
      <c r="A34" s="5" t="str">
        <f>HYPERLINK("#'5.5.1.1-2 Leaching and runoff'!A1", "5.5.1.1-2 Leaching &amp; runoff")</f>
        <v>5.5.1.1-2 Leaching &amp; runoff</v>
      </c>
      <c r="D34" s="56" t="s">
        <v>473</v>
      </c>
      <c r="E34" s="57"/>
      <c r="F34" s="57"/>
      <c r="G34" s="57"/>
      <c r="H34" s="58"/>
      <c r="I34" s="8"/>
      <c r="J34" s="8"/>
      <c r="K34" s="8"/>
      <c r="L34" s="8"/>
      <c r="M34" s="35"/>
    </row>
    <row r="35" spans="1:25" ht="36" customHeight="1" x14ac:dyDescent="0.25">
      <c r="A35" s="5" t="str">
        <f>HYPERLINK("#'6.2.1.1-2 Pasture residue N2O'!A1", "6.2.1.1-2 Pasture residue N2O")</f>
        <v>6.2.1.1-2 Pasture residue N2O</v>
      </c>
      <c r="D35" s="98" t="str">
        <f>IF(MAX(Table_Input_Lime[Total]) &gt; 1, "There can not be more than 100% ingredients in a product. Check the table below.", "")</f>
        <v/>
      </c>
    </row>
    <row r="36" spans="1:25" ht="36" customHeight="1" x14ac:dyDescent="0.25">
      <c r="A36" s="5" t="str">
        <f>HYPERLINK("#'6.3.1.1-2 Leach runoff pasture'!A1", "6.3.1.1-2 Leach &amp; runoff (pasture)")</f>
        <v>6.3.1.1-2 Leach &amp; runoff (pasture)</v>
      </c>
      <c r="D36" s="164" t="s">
        <v>155</v>
      </c>
      <c r="E36" s="164" t="s">
        <v>518</v>
      </c>
      <c r="F36" s="164" t="s">
        <v>479</v>
      </c>
      <c r="G36" s="164" t="s">
        <v>519</v>
      </c>
      <c r="H36" s="164" t="s">
        <v>520</v>
      </c>
      <c r="I36" s="164" t="s">
        <v>521</v>
      </c>
      <c r="J36" s="164" t="s">
        <v>522</v>
      </c>
      <c r="K36" s="164" t="s">
        <v>4</v>
      </c>
    </row>
    <row r="37" spans="1:25" ht="20.100000000000001" customHeight="1" x14ac:dyDescent="0.25">
      <c r="A37" s="5" t="str">
        <f>HYPERLINK("#'8.1.1.1-2 Transport fuel'!A1", "8.1.1.1-2 Transport fuel")</f>
        <v>8.1.1.1-2 Transport fuel</v>
      </c>
      <c r="D37" s="165" t="s">
        <v>523</v>
      </c>
      <c r="E37" s="146">
        <v>1</v>
      </c>
      <c r="F37" s="146">
        <f>$E$9</f>
        <v>100</v>
      </c>
      <c r="G37" s="147">
        <f>IFERROR(Table_Input_Lime[[#This Row],[Amount applied (t/hectare)]]*Table_Input_Lime[[#This Row],[Application area (ha)]], 0)</f>
        <v>100</v>
      </c>
      <c r="H37" s="166">
        <v>0.8</v>
      </c>
      <c r="I37" s="166">
        <v>0.1</v>
      </c>
      <c r="J37" s="166">
        <v>0.1</v>
      </c>
      <c r="K37" s="167">
        <f>SUM(Table_Input_Lime[[#This Row],[Percent Lime CaCO3]:[Percent Gypsum]])</f>
        <v>1</v>
      </c>
    </row>
    <row r="38" spans="1:25" ht="20.100000000000001" customHeight="1" x14ac:dyDescent="0.25">
      <c r="A38" s="5" t="str">
        <f>HYPERLINK("#'8.2.1.1-2 Stationary fuel'!A1", "8.2.1.1-2 Stationary fuel")</f>
        <v>8.2.1.1-2 Stationary fuel</v>
      </c>
      <c r="C38" s="153"/>
      <c r="D38" s="165" t="s">
        <v>524</v>
      </c>
      <c r="E38" s="146">
        <v>1</v>
      </c>
      <c r="F38" s="146">
        <f>$E$9</f>
        <v>100</v>
      </c>
      <c r="G38" s="147">
        <f>IFERROR(Table_Input_Lime[[#This Row],[Amount applied (t/hectare)]]*Table_Input_Lime[[#This Row],[Application area (ha)]], 0)</f>
        <v>100</v>
      </c>
      <c r="H38" s="166">
        <v>1</v>
      </c>
      <c r="I38" s="166"/>
      <c r="J38" s="166"/>
      <c r="K38" s="167">
        <f>SUM(Table_Input_Lime[[#This Row],[Percent Lime CaCO3]:[Percent Gypsum]])</f>
        <v>1</v>
      </c>
      <c r="L38" s="35"/>
    </row>
    <row r="39" spans="1:25" ht="20.100000000000001" customHeight="1" x14ac:dyDescent="0.25">
      <c r="A39" s="5" t="str">
        <f>HYPERLINK("#'14.1.1-2 Purchased electricity'!A1", "14.1.1-2 Purchased electricity")</f>
        <v>14.1.1-2 Purchased electricity</v>
      </c>
      <c r="C39" s="153"/>
      <c r="D39" s="165" t="s">
        <v>525</v>
      </c>
      <c r="E39" s="146">
        <v>1</v>
      </c>
      <c r="F39" s="146">
        <f>$E$9</f>
        <v>100</v>
      </c>
      <c r="G39" s="147">
        <f>IFERROR(Table_Input_Lime[[#This Row],[Amount applied (t/hectare)]]*Table_Input_Lime[[#This Row],[Application area (ha)]], 0)</f>
        <v>100</v>
      </c>
      <c r="H39" s="166">
        <v>0</v>
      </c>
      <c r="I39" s="166"/>
      <c r="J39" s="166">
        <v>1</v>
      </c>
      <c r="K39" s="167">
        <f>SUM(Table_Input_Lime[[#This Row],[Percent Lime CaCO3]:[Percent Gypsum]])</f>
        <v>1</v>
      </c>
      <c r="L39" s="35"/>
      <c r="M39" s="35"/>
    </row>
    <row r="40" spans="1:25" s="168" customFormat="1" ht="20.100000000000001" customHeight="1" x14ac:dyDescent="0.25">
      <c r="A40" s="5" t="str">
        <f>HYPERLINK("#'15 Scope 3'!A1", "15 Scope 3")</f>
        <v>15 Scope 3</v>
      </c>
      <c r="C40" s="1"/>
      <c r="D40" s="8"/>
      <c r="E40" s="8"/>
      <c r="F40" s="8"/>
      <c r="G40" s="8"/>
      <c r="H40" s="8"/>
      <c r="I40" s="8"/>
      <c r="J40" s="8"/>
      <c r="K40" s="1"/>
      <c r="L40" s="8"/>
      <c r="M40" s="35"/>
      <c r="N40" s="1"/>
      <c r="O40" s="1"/>
      <c r="P40" s="1"/>
      <c r="Q40" s="1"/>
      <c r="R40" s="1"/>
      <c r="S40" s="1"/>
      <c r="T40" s="1"/>
      <c r="U40" s="1"/>
      <c r="V40" s="1"/>
      <c r="W40" s="1"/>
      <c r="X40" s="1"/>
      <c r="Y40" s="1"/>
    </row>
    <row r="41" spans="1:25" s="168" customFormat="1" ht="20.100000000000001" customHeight="1" x14ac:dyDescent="0.25">
      <c r="A41" s="5" t="str">
        <f>HYPERLINK("#'Calcs - Manure sent off-site'!A1", "Calcs - Manure sent off-site")</f>
        <v>Calcs - Manure sent off-site</v>
      </c>
      <c r="C41" s="1"/>
      <c r="D41" s="8"/>
      <c r="E41" s="8"/>
      <c r="F41" s="8"/>
      <c r="G41" s="8"/>
      <c r="H41" s="8"/>
      <c r="I41" s="8"/>
      <c r="J41" s="169"/>
      <c r="K41" s="35"/>
      <c r="L41" s="8"/>
      <c r="M41" s="8"/>
      <c r="N41" s="1"/>
      <c r="O41" s="1"/>
      <c r="P41" s="1"/>
      <c r="Q41" s="1"/>
      <c r="R41" s="1"/>
      <c r="S41" s="1"/>
      <c r="T41" s="1"/>
      <c r="U41" s="1"/>
      <c r="V41" s="1"/>
      <c r="W41" s="1"/>
      <c r="X41" s="1"/>
      <c r="Y41" s="1"/>
    </row>
    <row r="42" spans="1:25" ht="30" customHeight="1" x14ac:dyDescent="0.25">
      <c r="A42" s="5" t="str">
        <f>HYPERLINK("#'10.1.1-2 Solid waste treatment'!A1", "10.1.1-2 Solid waste treatment")</f>
        <v>10.1.1-2 Solid waste treatment</v>
      </c>
      <c r="D42" s="2" t="s">
        <v>526</v>
      </c>
      <c r="E42" s="35"/>
      <c r="F42" s="35"/>
      <c r="G42" s="35"/>
      <c r="H42" s="8"/>
      <c r="I42" s="8"/>
      <c r="J42" s="8"/>
      <c r="K42" s="8"/>
      <c r="L42" s="8"/>
      <c r="M42" s="8"/>
      <c r="S42" s="153"/>
    </row>
    <row r="43" spans="1:25" ht="36" customHeight="1" x14ac:dyDescent="0.25">
      <c r="D43" s="8"/>
      <c r="E43" s="8"/>
      <c r="F43" s="8"/>
      <c r="G43" s="8"/>
      <c r="H43" s="8"/>
      <c r="I43" s="8"/>
      <c r="J43" s="8"/>
      <c r="K43" s="8"/>
      <c r="L43" s="8"/>
      <c r="M43" s="8"/>
      <c r="Q43" s="153"/>
      <c r="R43" s="153"/>
      <c r="S43" s="153"/>
    </row>
    <row r="44" spans="1:25" ht="36" customHeight="1" x14ac:dyDescent="0.25">
      <c r="D44" s="137" t="s">
        <v>516</v>
      </c>
      <c r="E44" s="54"/>
      <c r="F44" s="54"/>
      <c r="G44" s="54"/>
      <c r="H44" s="55"/>
      <c r="I44" s="8"/>
      <c r="J44" s="8"/>
      <c r="K44" s="8"/>
      <c r="L44" s="8"/>
      <c r="M44" s="8"/>
      <c r="O44" s="153"/>
      <c r="P44" s="153"/>
      <c r="Q44" s="153"/>
      <c r="R44" s="153"/>
    </row>
    <row r="45" spans="1:25" ht="36" customHeight="1" x14ac:dyDescent="0.25">
      <c r="A45" s="94" t="s">
        <v>1</v>
      </c>
      <c r="D45" s="56" t="s">
        <v>473</v>
      </c>
      <c r="E45" s="57"/>
      <c r="F45" s="57"/>
      <c r="G45" s="57"/>
      <c r="H45" s="58"/>
      <c r="I45" s="8"/>
      <c r="J45" s="8"/>
      <c r="K45" s="8"/>
      <c r="L45" s="155"/>
      <c r="M45" s="153"/>
      <c r="N45" s="153"/>
      <c r="O45" s="153"/>
      <c r="P45" s="153"/>
    </row>
    <row r="46" spans="1:25" ht="36" customHeight="1" x14ac:dyDescent="0.25">
      <c r="A46" s="5" t="str">
        <f>HYPERLINK("#'Constants - Pasture Beef'!A1", "Constants - Pasture Beef")</f>
        <v>Constants - Pasture Beef</v>
      </c>
      <c r="D46" s="8"/>
      <c r="E46" s="8"/>
      <c r="F46" s="8"/>
      <c r="G46" s="8"/>
      <c r="H46" s="8"/>
      <c r="I46" s="8"/>
      <c r="J46" s="8"/>
      <c r="K46" s="8"/>
      <c r="L46" s="155"/>
      <c r="M46" s="153"/>
      <c r="N46" s="153"/>
    </row>
    <row r="47" spans="1:25" ht="20.100000000000001" customHeight="1" x14ac:dyDescent="0.25">
      <c r="A47" s="5" t="str">
        <f>HYPERLINK("#'Constants - Ag Residue'!A1", "Constants - Ag residue")</f>
        <v>Constants - Ag residue</v>
      </c>
      <c r="D47" s="164" t="s">
        <v>527</v>
      </c>
      <c r="E47" s="164" t="s">
        <v>528</v>
      </c>
      <c r="F47" s="164" t="s">
        <v>529</v>
      </c>
      <c r="G47" s="164" t="s">
        <v>530</v>
      </c>
      <c r="H47" s="164" t="s">
        <v>479</v>
      </c>
      <c r="I47" s="164" t="s">
        <v>531</v>
      </c>
      <c r="J47" s="164" t="s">
        <v>532</v>
      </c>
      <c r="K47" s="155"/>
    </row>
    <row r="48" spans="1:25" ht="20.100000000000001" customHeight="1" x14ac:dyDescent="0.25">
      <c r="A48" s="5" t="str">
        <f>HYPERLINK("#'Constants - Common Livestock'!A1", "Constants - Common Livestock")</f>
        <v>Constants - Common Livestock</v>
      </c>
      <c r="D48" s="101" t="s">
        <v>533</v>
      </c>
      <c r="E48" s="166">
        <v>0.3</v>
      </c>
      <c r="F48" s="146">
        <v>10</v>
      </c>
      <c r="G48" s="147">
        <f>Table_Input_OrganicFertiliser[[#This Row],[Amount applied (kg/hectare)]]*Table_Input_OrganicFertiliser[[#This Row],[Percentage of N in fertiliser]]</f>
        <v>3</v>
      </c>
      <c r="H48" s="146">
        <f>$E$9</f>
        <v>100</v>
      </c>
      <c r="I48" s="147">
        <f>Table_Input_OrganicFertiliser[[#This Row],[Amount applied (kg/hectare)]]*Table_Input_OrganicFertiliser[[#This Row],[Application area (ha)]]</f>
        <v>1000</v>
      </c>
      <c r="J48" s="147">
        <f>IFERROR(Table_Input_OrganicFertiliser[[#This Row],[Amount N applied (kg/hectare)]]*Table_Input_OrganicFertiliser[[#This Row],[Application area (ha)]], 0)</f>
        <v>300</v>
      </c>
      <c r="K48" s="155"/>
    </row>
    <row r="49" spans="1:10" ht="20.100000000000001" customHeight="1" x14ac:dyDescent="0.25">
      <c r="A49" s="5" t="str">
        <f>HYPERLINK("#'Constants - Electricity'!A1", "Constants - Electricity")</f>
        <v>Constants - Electricity</v>
      </c>
      <c r="D49" s="101" t="s">
        <v>534</v>
      </c>
      <c r="E49" s="166">
        <v>0.25</v>
      </c>
      <c r="F49" s="146">
        <v>10</v>
      </c>
      <c r="G49" s="147">
        <f>Table_Input_OrganicFertiliser[[#This Row],[Amount applied (kg/hectare)]]*Table_Input_OrganicFertiliser[[#This Row],[Percentage of N in fertiliser]]</f>
        <v>2.5</v>
      </c>
      <c r="H49" s="146">
        <f>$E$9</f>
        <v>100</v>
      </c>
      <c r="I49" s="147">
        <f>Table_Input_OrganicFertiliser[[#This Row],[Amount applied (kg/hectare)]]*Table_Input_OrganicFertiliser[[#This Row],[Application area (ha)]]</f>
        <v>1000</v>
      </c>
      <c r="J49" s="147">
        <f>IFERROR(Table_Input_OrganicFertiliser[[#This Row],[Amount N applied (kg/hectare)]]*Table_Input_OrganicFertiliser[[#This Row],[Application area (ha)]], 0)</f>
        <v>250</v>
      </c>
    </row>
    <row r="50" spans="1:10" ht="20.100000000000001" customHeight="1" x14ac:dyDescent="0.25">
      <c r="A50" s="5" t="str">
        <f>HYPERLINK("#'Constants - Fertiliser'!A1", "Constants - Fertiliser")</f>
        <v>Constants - Fertiliser</v>
      </c>
      <c r="D50" s="101" t="s">
        <v>535</v>
      </c>
      <c r="E50" s="166">
        <v>0.16</v>
      </c>
      <c r="F50" s="146">
        <v>10</v>
      </c>
      <c r="G50" s="147">
        <f>Table_Input_OrganicFertiliser[[#This Row],[Amount applied (kg/hectare)]]*Table_Input_OrganicFertiliser[[#This Row],[Percentage of N in fertiliser]]</f>
        <v>1.6</v>
      </c>
      <c r="H50" s="146">
        <f>$E$9</f>
        <v>100</v>
      </c>
      <c r="I50" s="147">
        <f>Table_Input_OrganicFertiliser[[#This Row],[Amount applied (kg/hectare)]]*Table_Input_OrganicFertiliser[[#This Row],[Application area (ha)]]</f>
        <v>1000</v>
      </c>
      <c r="J50" s="147">
        <f>IFERROR(Table_Input_OrganicFertiliser[[#This Row],[Amount N applied (kg/hectare)]]*Table_Input_OrganicFertiliser[[#This Row],[Application area (ha)]], 0)</f>
        <v>160</v>
      </c>
    </row>
    <row r="51" spans="1:10" ht="20.100000000000001" customHeight="1" x14ac:dyDescent="0.25">
      <c r="A51" s="5" t="str">
        <f>HYPERLINK("#'Constants - Fuel'!A1", "Constants - Fuel")</f>
        <v>Constants - Fuel</v>
      </c>
    </row>
    <row r="52" spans="1:10" ht="20.100000000000001" customHeight="1" x14ac:dyDescent="0.25">
      <c r="A52" s="5" t="str">
        <f>HYPERLINK("#'Constants - Scope 3'!A1", "Constants - Scope 3")</f>
        <v>Constants - Scope 3</v>
      </c>
    </row>
    <row r="53" spans="1:10" ht="20.100000000000001" customHeight="1" x14ac:dyDescent="0.25">
      <c r="A53" s="5" t="str">
        <f>HYPERLINK("#'Constants - Common'!A1", "Constants - Common")</f>
        <v>Constants - Common</v>
      </c>
    </row>
    <row r="54" spans="1:10" ht="20.100000000000001" customHeight="1" x14ac:dyDescent="0.25">
      <c r="A54" s="5" t="str">
        <f>HYPERLINK("#'Acknowledgements'!A1", "Acknowledgements")</f>
        <v>Acknowledgements</v>
      </c>
    </row>
    <row r="55" spans="1:10" ht="20.100000000000001" customHeight="1" x14ac:dyDescent="0.25">
      <c r="A55" s="5" t="str">
        <f>HYPERLINK("#'Constants - Solid Waste'!A1", "Constants - Solid Waste")</f>
        <v>Constants - Solid Waste</v>
      </c>
    </row>
    <row r="56" spans="1:10" ht="20.100000000000001" customHeight="1" x14ac:dyDescent="0.25"/>
    <row r="57" spans="1:10" ht="20.100000000000001" customHeight="1" x14ac:dyDescent="0.25"/>
    <row r="58" spans="1:10" ht="20.100000000000001" customHeight="1" x14ac:dyDescent="0.25"/>
    <row r="59" spans="1:10" ht="20.100000000000001" customHeight="1" x14ac:dyDescent="0.25"/>
    <row r="60" spans="1:10" ht="20.100000000000001" customHeight="1" x14ac:dyDescent="0.25"/>
    <row r="61" spans="1:10" ht="20.100000000000001" customHeight="1" x14ac:dyDescent="0.25"/>
    <row r="62" spans="1:10" ht="20.100000000000001" customHeight="1" x14ac:dyDescent="0.25"/>
    <row r="63" spans="1:10" ht="20.100000000000001" customHeight="1" x14ac:dyDescent="0.25"/>
    <row r="64" spans="1: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8"/>
    </row>
  </sheetData>
  <conditionalFormatting sqref="F52 L186 K188 L190:L191 K192:K193 L194:L195 K196:K197 L200:L201 K202:K203 L204:L205 K206:K207 L211:L216 K213">
    <cfRule type="cellIs" dxfId="78" priority="19" operator="lessThan">
      <formula>0</formula>
    </cfRule>
  </conditionalFormatting>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255:F256">
    <cfRule type="cellIs" dxfId="75" priority="27" operator="lessThan">
      <formula>0</formula>
    </cfRule>
  </conditionalFormatting>
  <conditionalFormatting sqref="F260:F261">
    <cfRule type="cellIs" dxfId="74" priority="26" operator="lessThan">
      <formula>0</formula>
    </cfRule>
  </conditionalFormatting>
  <conditionalFormatting sqref="F265:F266">
    <cfRule type="cellIs" dxfId="73" priority="25" operator="lessThan">
      <formula>0</formula>
    </cfRule>
  </conditionalFormatting>
  <conditionalFormatting sqref="F289:F290">
    <cfRule type="cellIs" dxfId="72" priority="24" operator="lessThan">
      <formula>0</formula>
    </cfRule>
  </conditionalFormatting>
  <conditionalFormatting sqref="F294:F295">
    <cfRule type="cellIs" dxfId="71" priority="23" operator="lessThan">
      <formula>0</formula>
    </cfRule>
  </conditionalFormatting>
  <conditionalFormatting sqref="F299:F300">
    <cfRule type="cellIs" dxfId="70" priority="22" operator="lessThan">
      <formula>0</formula>
    </cfRule>
  </conditionalFormatting>
  <conditionalFormatting sqref="H47:H50 F131:F132">
    <cfRule type="cellIs" dxfId="69"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68" priority="21" operator="lessThan">
      <formula>0</formula>
    </cfRule>
  </conditionalFormatting>
  <conditionalFormatting sqref="I36:I41 F143:F144">
    <cfRule type="cellIs" dxfId="67" priority="16" operator="lessThan">
      <formula>0</formula>
    </cfRule>
  </conditionalFormatting>
  <conditionalFormatting sqref="I62:I66">
    <cfRule type="cellIs" dxfId="66" priority="4" operator="lessThan">
      <formula>0</formula>
    </cfRule>
  </conditionalFormatting>
  <conditionalFormatting sqref="I70 M107 I129:J129">
    <cfRule type="cellIs" dxfId="65" priority="20"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8" operator="lessThan">
      <formula>0</formula>
    </cfRule>
  </conditionalFormatting>
  <conditionalFormatting sqref="L119:L122">
    <cfRule type="cellIs" dxfId="60" priority="8" operator="lessThan">
      <formula>0</formula>
    </cfRule>
  </conditionalFormatting>
  <conditionalFormatting sqref="L125">
    <cfRule type="cellIs" dxfId="59" priority="13" operator="lessThan">
      <formula>0</formula>
    </cfRule>
  </conditionalFormatting>
  <conditionalFormatting sqref="L131:L134">
    <cfRule type="cellIs" dxfId="58" priority="7" operator="lessThan">
      <formula>0</formula>
    </cfRule>
  </conditionalFormatting>
  <conditionalFormatting sqref="L137">
    <cfRule type="cellIs" dxfId="57" priority="12" operator="lessThan">
      <formula>0</formula>
    </cfRule>
  </conditionalFormatting>
  <conditionalFormatting sqref="L143:L146">
    <cfRule type="cellIs" dxfId="56" priority="6" operator="lessThan">
      <formula>0</formula>
    </cfRule>
  </conditionalFormatting>
  <conditionalFormatting sqref="L149">
    <cfRule type="cellIs" dxfId="55" priority="11" operator="lessThan">
      <formula>0</formula>
    </cfRule>
  </conditionalFormatting>
  <conditionalFormatting sqref="L155:L158">
    <cfRule type="cellIs" dxfId="54" priority="5" operator="lessThan">
      <formula>0</formula>
    </cfRule>
  </conditionalFormatting>
  <conditionalFormatting sqref="L161">
    <cfRule type="cellIs" dxfId="53" priority="10" operator="lessThan">
      <formula>0</formula>
    </cfRule>
  </conditionalFormatting>
  <conditionalFormatting sqref="L165:L166">
    <cfRule type="cellIs" dxfId="52" priority="9" operator="lessThan">
      <formula>0</formula>
    </cfRule>
  </conditionalFormatting>
  <conditionalFormatting sqref="L218 L220:L223 L225 J233:J235 J238:J240">
    <cfRule type="cellIs" dxfId="51" priority="28" operator="lessThan">
      <formula>0</formula>
    </cfRule>
  </conditionalFormatting>
  <dataValidations count="12">
    <dataValidation type="list" allowBlank="1" showInputMessage="1" showErrorMessage="1" sqref="Q26:R28" xr:uid="{A054D9D8-7913-4446-958E-E21978F66C64}">
      <formula1>INDIRECT("Table_SourceData_Fertiliser_UreaAmmoniaSources[Source]")</formula1>
    </dataValidation>
    <dataValidation type="list" allowBlank="1" showInputMessage="1" showErrorMessage="1" sqref="D18:D22" xr:uid="{ABB5779B-DEDE-452C-B737-5CBE63BE6D89}">
      <formula1>INDIRECT("FertiliserProducts[Product Name]")</formula1>
    </dataValidation>
    <dataValidation type="list" allowBlank="1" showInputMessage="1" showErrorMessage="1" sqref="D48:D50" xr:uid="{94332B79-A16B-4F83-8661-126DC1FDF874}">
      <formula1>INDIRECT("Table_SourceData_OrganicFertiliserTypes[Organic fertiliser type]")</formula1>
    </dataValidation>
    <dataValidation type="list" allowBlank="1" showInputMessage="1" showErrorMessage="1" sqref="H26:H28 J26:J28 L26:L28 N26:N28" xr:uid="{062EB6C1-BD76-4BB3-A559-4626E4C86E4C}">
      <formula1>INDIRECT("Table_Fertiliser_ChemicalCompounds[Fertiliser type f]")</formula1>
    </dataValidation>
    <dataValidation type="list" allowBlank="1" showInputMessage="1" showErrorMessage="1" sqref="E7" xr:uid="{98ECE61D-B464-4BDE-AED1-E9BB96EB58F1}">
      <formula1>INDIRECT("Table_SourceData_Fertiliser_CropTypes[Production system]")</formula1>
    </dataValidation>
    <dataValidation type="list" allowBlank="1" showInputMessage="1" showErrorMessage="1" sqref="E8" xr:uid="{B6BA2A10-5391-403A-8E83-F4A4A18A3AB1}">
      <formula1>INDIRECT("Table_SourceData_Fertiliser_IrrigationMethods[Irrigation method]")</formula1>
    </dataValidation>
    <dataValidation type="list" allowBlank="1" showInputMessage="1" showErrorMessage="1" sqref="E6" xr:uid="{18DEA6E0-EC78-4B01-96AC-045B84BD0E28}">
      <formula1>INDIRECT("Table_SourceData_Fertiliser_CropProdSystems[Production system]")</formula1>
    </dataValidation>
    <dataValidation type="list" allowBlank="1" showInputMessage="1" showErrorMessage="1" sqref="E69" xr:uid="{BBCFCE78-2E4E-4382-82EB-7FF92A313A97}">
      <formula1>INDIRECT("Table_SourceData_Swine_CropProdSystems[Production system]")</formula1>
    </dataValidation>
    <dataValidation type="list" allowBlank="1" showInputMessage="1" showErrorMessage="1" sqref="E70" xr:uid="{A4F318CC-20CD-498B-8766-70B6B77F9BD1}">
      <formula1>INDIRECT("Table_SourceData_Swine_IrrigationMethods[Irrigation method]")</formula1>
    </dataValidation>
    <dataValidation type="list" allowBlank="1" showInputMessage="1" showErrorMessage="1" sqref="E254 E259 E264 E298 E293 E288 E166 E154 E130 E142" xr:uid="{26169133-0147-4ADE-BA24-3C6FC5D50C6F}">
      <formula1>"Yes, No"</formula1>
    </dataValidation>
    <dataValidation type="list" allowBlank="1" showInputMessage="1" showErrorMessage="1" sqref="E230" xr:uid="{E4DA02F5-38D6-4796-B09F-206888EAD721}">
      <formula1>INDIRECT("Table_SourceData_Dairy_ProductionSystemTemplates[Area]")</formula1>
    </dataValidation>
    <dataValidation type="list" allowBlank="1" showInputMessage="1" showErrorMessage="1" sqref="D282" xr:uid="{E9ECAF89-4C6A-4871-BA57-F89F8001071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F5D0C-45C3-47BB-804C-BB3BE00198FA}">
  <dimension ref="A1:K346"/>
  <sheetViews>
    <sheetView showGridLines="0" topLeftCell="A2"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700</v>
      </c>
      <c r="E5" s="35"/>
      <c r="F5" s="35"/>
      <c r="G5" s="35"/>
      <c r="H5" s="35"/>
    </row>
    <row r="6" spans="1:11" ht="20.100000000000001" customHeight="1" x14ac:dyDescent="0.25">
      <c r="D6" s="8"/>
      <c r="E6" s="8"/>
      <c r="F6" s="8"/>
      <c r="G6" s="8"/>
      <c r="H6" s="8"/>
      <c r="I6" s="8"/>
      <c r="J6" s="8"/>
    </row>
    <row r="7" spans="1:11" ht="20.100000000000001" customHeight="1" x14ac:dyDescent="0.25">
      <c r="D7" s="1" t="s">
        <v>701</v>
      </c>
    </row>
    <row r="8" spans="1:11" ht="20.100000000000001" customHeight="1" x14ac:dyDescent="0.25">
      <c r="A8" s="7" t="s">
        <v>0</v>
      </c>
      <c r="D8" s="1" t="s">
        <v>702</v>
      </c>
    </row>
    <row r="9" spans="1:11" ht="20.100000000000001" customHeight="1" x14ac:dyDescent="0.25">
      <c r="A9" s="5" t="str">
        <f>HYPERLINK("#'Input - Enterprise'!A1", "Enterprise")</f>
        <v>Enterprise</v>
      </c>
      <c r="D9" s="1" t="s">
        <v>703</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704</v>
      </c>
      <c r="E11" s="23" t="s">
        <v>705</v>
      </c>
      <c r="F11" s="26" t="s">
        <v>111</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Pasture'!A1", "Pasture")</f>
        <v>Pasture</v>
      </c>
      <c r="D13" s="137" t="s">
        <v>671</v>
      </c>
      <c r="E13" s="54"/>
      <c r="F13" s="54"/>
      <c r="G13" s="54"/>
      <c r="H13" s="55"/>
    </row>
    <row r="14" spans="1:11" ht="20.100000000000001" customHeight="1" x14ac:dyDescent="0.25">
      <c r="A14" s="5" t="str">
        <f>HYPERLINK("#'Input - Fertiliser'!A1", "Fertiliser")</f>
        <v>Fertiliser</v>
      </c>
      <c r="D14" s="56" t="s">
        <v>706</v>
      </c>
      <c r="E14" s="57"/>
      <c r="F14" s="57"/>
      <c r="G14" s="57"/>
      <c r="H14" s="58"/>
    </row>
    <row r="15" spans="1:11" ht="20.100000000000001" customHeight="1" x14ac:dyDescent="0.25">
      <c r="A15" s="92" t="str">
        <f>HYPERLINK("#'Input - Fuel'!A1", "Fuel")</f>
        <v>Fuel</v>
      </c>
      <c r="D15" s="8"/>
      <c r="E15" s="8"/>
      <c r="F15" s="8"/>
      <c r="G15" s="8"/>
      <c r="H15" s="8"/>
      <c r="I15" s="8"/>
      <c r="J15" s="8"/>
    </row>
    <row r="16" spans="1:11" ht="20.100000000000001" customHeight="1" x14ac:dyDescent="0.25">
      <c r="A16" s="5" t="str">
        <f>HYPERLINK("#'Input - Electricity'!A1", "Electricity")</f>
        <v>Electricity</v>
      </c>
      <c r="D16" s="119" t="s">
        <v>707</v>
      </c>
      <c r="E16" s="119" t="s">
        <v>708</v>
      </c>
      <c r="F16" s="119" t="s">
        <v>709</v>
      </c>
      <c r="G16" s="119" t="s">
        <v>710</v>
      </c>
      <c r="H16" s="119" t="s">
        <v>711</v>
      </c>
      <c r="I16" s="119" t="s">
        <v>712</v>
      </c>
      <c r="J16" s="119" t="s">
        <v>713</v>
      </c>
    </row>
    <row r="17" spans="1:10" ht="20.100000000000001" customHeight="1" x14ac:dyDescent="0.25">
      <c r="A17" s="5" t="str">
        <f>HYPERLINK("#'Input - Farm Inputs'!A1", "Farm Inputs")</f>
        <v>Farm Inputs</v>
      </c>
      <c r="D17" s="23" t="s">
        <v>714</v>
      </c>
      <c r="E17" s="23" t="s">
        <v>715</v>
      </c>
      <c r="F17" s="197">
        <v>100</v>
      </c>
      <c r="G17" s="25" t="str" cm="1">
        <f t="array" ref="G17">Common_InputFunctions.Utility_LookupValueInTable(Table_Input_Fuel[[#This Row],[Fuel type (select)]],Table_FuelTypes_Units[Fuel type], Table_FuelTypes_Units[Input Unit])</f>
        <v>GJ</v>
      </c>
      <c r="H17" s="198">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23" t="s">
        <v>714</v>
      </c>
      <c r="E18" s="23" t="s">
        <v>716</v>
      </c>
      <c r="F18" s="197">
        <v>10000</v>
      </c>
      <c r="G18" s="25" t="str" cm="1">
        <f t="array" ref="G18">Common_InputFunctions.Utility_LookupValueInTable(Table_Input_Fuel[[#This Row],[Fuel type (select)]],Table_FuelTypes_Units[Fuel type], Table_FuelTypes_Units[Input Unit])</f>
        <v>L</v>
      </c>
      <c r="H18" s="199">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Manure sent off-site'!A1", "Manure sent off-site")</f>
        <v>Manure sent off-site</v>
      </c>
      <c r="D19" s="23" t="s">
        <v>717</v>
      </c>
      <c r="E19" s="23" t="s">
        <v>718</v>
      </c>
      <c r="F19" s="197">
        <v>10000</v>
      </c>
      <c r="G19" s="25" t="str" cm="1">
        <f t="array" ref="G19">Common_InputFunctions.Utility_LookupValueInTable(Table_Input_Fuel[[#This Row],[Fuel type (select)]],Table_FuelTypes_Units[Fuel type], Table_FuelTypes_Units[Input Unit])</f>
        <v>L</v>
      </c>
      <c r="H19" s="199">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Solid waste'!A1", "Solid waste")</f>
        <v>Solid waste</v>
      </c>
      <c r="D20" s="23" t="s">
        <v>719</v>
      </c>
      <c r="E20" s="23" t="s">
        <v>718</v>
      </c>
      <c r="F20" s="197">
        <v>10000</v>
      </c>
      <c r="G20" s="25" t="str" cm="1">
        <f t="array" ref="G20">Common_InputFunctions.Utility_LookupValueInTable(Table_Input_Fuel[[#This Row],[Fuel type (select)]],Table_FuelTypes_Units[Fuel type], Table_FuelTypes_Units[Input Unit])</f>
        <v>L</v>
      </c>
      <c r="H20" s="199">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02" t="s">
        <v>720</v>
      </c>
      <c r="E21" s="102" t="s">
        <v>721</v>
      </c>
      <c r="F21" s="197">
        <v>10000</v>
      </c>
      <c r="G21" s="200" t="str" cm="1">
        <f t="array" ref="G21">Common_InputFunctions.Utility_LookupValueInTable(Table_Input_Fuel[[#This Row],[Fuel type (select)]],Table_FuelTypes_Units[Fuel type], Table_FuelTypes_Units[Input Unit])</f>
        <v>L</v>
      </c>
      <c r="H21" s="201">
        <f>1</f>
        <v>1</v>
      </c>
      <c r="I21" s="200">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6" t="s">
        <v>2</v>
      </c>
    </row>
    <row r="24" spans="1:10" ht="20.100000000000001" customHeight="1" x14ac:dyDescent="0.25">
      <c r="A24" s="5" t="str">
        <f>HYPERLINK("#'3.2.1.1-2 Enteric Methane'!A1", "3.2.1.1-2 Enteric methane")</f>
        <v>3.2.1.1-2 Enteric methane</v>
      </c>
    </row>
    <row r="25" spans="1:10" ht="20.100000000000001" customHeight="1" x14ac:dyDescent="0.25">
      <c r="A25" s="5" t="str">
        <f>HYPERLINK("#'4.2.1.1-2 Methane'!A1", "4.2.1.1-2 Manure methane")</f>
        <v>4.2.1.1-2 Manure methane</v>
      </c>
    </row>
    <row r="26" spans="1:10" ht="20.100000000000001" customHeight="1" x14ac:dyDescent="0.25">
      <c r="A26" s="5" t="str">
        <f>HYPERLINK("#'4.2.1.3-4 Soil direct N20'!A1", "4.2.1.3-4 Soil direct N2O")</f>
        <v>4.2.1.3-4 Soil direct N2O</v>
      </c>
    </row>
    <row r="27" spans="1:10" ht="20.100000000000001" customHeight="1" x14ac:dyDescent="0.25">
      <c r="A27" s="5" t="str">
        <f>HYPERLINK("#'4.2.1.5-6 Soil Atmos Dep'!A1", "4.2.1.5-6 Soil atm. deposition")</f>
        <v>4.2.1.5-6 Soil atm. deposition</v>
      </c>
    </row>
    <row r="28" spans="1:10" ht="20.100000000000001" customHeight="1" x14ac:dyDescent="0.25">
      <c r="A28" s="5" t="str">
        <f>HYPERLINK("#'4.2.1.7-8 Soil leach runoff'!A1", "4.2.1.7-8 Soil leach &amp; runoff")</f>
        <v>4.2.1.7-8 Soil leach &amp; runoff</v>
      </c>
    </row>
    <row r="29" spans="1:10" ht="20.100000000000001" customHeight="1" x14ac:dyDescent="0.25">
      <c r="A29" s="5" t="str">
        <f>HYPERLINK("#'5.1.1.1-2 Inorganic fert N2O'!A1", "5.1.1.1-2 Inorganic fert N2O")</f>
        <v>5.1.1.1-2 Inorganic fert N2O</v>
      </c>
    </row>
    <row r="30" spans="1:10" ht="20.100000000000001" customHeight="1" x14ac:dyDescent="0.25">
      <c r="A30" s="5" t="str">
        <f>HYPERLINK("#'5.1.1.3-4 Inorganic fert CO2'!A1", "5.1.1.3-4 Inorganic fert CO2")</f>
        <v>5.1.1.3-4 Inorganic fert CO2</v>
      </c>
    </row>
    <row r="31" spans="1:10" ht="20.100000000000001" customHeight="1" x14ac:dyDescent="0.25">
      <c r="A31" s="5" t="str">
        <f>HYPERLINK("#'5.2.1.1-2 Organic Fert N2O'!A1", "5.2.1.1-2 Organic fert N2O")</f>
        <v>5.2.1.1-2 Organic fert N2O</v>
      </c>
    </row>
    <row r="32" spans="1:10" ht="20.100000000000001" customHeight="1" x14ac:dyDescent="0.25">
      <c r="A32" s="5" t="str">
        <f>HYPERLINK("#'5.3.1.1-2 Lime CO2'!A1", "5.3.1.1-2 Lime CO2")</f>
        <v>5.3.1.1-2 Lime CO2</v>
      </c>
    </row>
    <row r="33" spans="1:11" ht="20.100000000000001" customHeight="1" x14ac:dyDescent="0.25">
      <c r="A33" s="5" t="str">
        <f>HYPERLINK("#'5.4.1.1-4 Atmos deposition'!A1", "5.4.1.1-4 Atmos. deposition")</f>
        <v>5.4.1.1-4 Atmos. deposition</v>
      </c>
    </row>
    <row r="34" spans="1:11" ht="20.100000000000001" customHeight="1" x14ac:dyDescent="0.25">
      <c r="A34" s="5" t="str">
        <f>HYPERLINK("#'5.5.1.1-2 Leaching and runoff'!A1", "5.5.1.1-2 Leaching &amp; runoff")</f>
        <v>5.5.1.1-2 Leaching &amp; runoff</v>
      </c>
    </row>
    <row r="35" spans="1:11" ht="20.100000000000001" customHeight="1" x14ac:dyDescent="0.25">
      <c r="A35" s="5" t="str">
        <f>HYPERLINK("#'6.2.1.1-2 Pasture residue N2O'!A1", "6.2.1.1-2 Pasture residue N2O")</f>
        <v>6.2.1.1-2 Pasture residue N2O</v>
      </c>
    </row>
    <row r="36" spans="1:11" ht="20.100000000000001" customHeight="1" x14ac:dyDescent="0.25">
      <c r="A36" s="5" t="str">
        <f>HYPERLINK("#'6.3.1.1-2 Leach runoff pasture'!A1", "6.3.1.1-2 Leach &amp; runoff (pasture)")</f>
        <v>6.3.1.1-2 Leach &amp; runoff (pasture)</v>
      </c>
    </row>
    <row r="37" spans="1:11" ht="20.100000000000001" customHeight="1" x14ac:dyDescent="0.25">
      <c r="A37" s="5" t="str">
        <f>HYPERLINK("#'8.1.1.1-2 Transport fuel'!A1", "8.1.1.1-2 Transport fuel")</f>
        <v>8.1.1.1-2 Transport fuel</v>
      </c>
    </row>
    <row r="38" spans="1:11" ht="20.100000000000001" customHeight="1" x14ac:dyDescent="0.25">
      <c r="A38" s="5" t="str">
        <f>HYPERLINK("#'8.2.1.1-2 Stationary fuel'!A1", "8.2.1.1-2 Stationary fuel")</f>
        <v>8.2.1.1-2 Stationary fuel</v>
      </c>
      <c r="C38" s="153"/>
      <c r="K38" s="153"/>
    </row>
    <row r="39" spans="1:11" ht="20.100000000000001" customHeight="1" x14ac:dyDescent="0.25">
      <c r="A39" s="5" t="str">
        <f>HYPERLINK("#'14.1.1-2 Purchased electricity'!A1", "14.1.1-2 Purchased electricity")</f>
        <v>14.1.1-2 Purchased electricity</v>
      </c>
      <c r="C39" s="153"/>
      <c r="K39" s="153"/>
    </row>
    <row r="40" spans="1:11" s="168" customFormat="1" ht="20.100000000000001" customHeight="1" x14ac:dyDescent="0.25">
      <c r="A40" s="5" t="str">
        <f>HYPERLINK("#'15 Scope 3'!A1", "15 Scope 3")</f>
        <v>15 Scope 3</v>
      </c>
      <c r="C40" s="1"/>
      <c r="D40" s="1"/>
      <c r="E40" s="1"/>
      <c r="F40" s="1"/>
      <c r="G40" s="1"/>
      <c r="H40" s="1"/>
      <c r="I40" s="1"/>
      <c r="J40" s="1"/>
      <c r="K40" s="1"/>
    </row>
    <row r="41" spans="1:11" s="168" customFormat="1" ht="20.100000000000001" customHeight="1" x14ac:dyDescent="0.25">
      <c r="A41" s="5" t="str">
        <f>HYPERLINK("#'Calcs - Manure sent off-site'!A1", "Calcs - Manure sent off-site")</f>
        <v>Calcs - Manure sent off-site</v>
      </c>
      <c r="C41" s="1"/>
      <c r="D41" s="1"/>
      <c r="E41" s="1"/>
      <c r="F41" s="1"/>
      <c r="G41" s="1"/>
      <c r="H41" s="1"/>
      <c r="I41" s="1"/>
      <c r="J41" s="1"/>
      <c r="K41" s="1"/>
    </row>
    <row r="42" spans="1:11" ht="20.100000000000001" customHeight="1" x14ac:dyDescent="0.25">
      <c r="A42" s="5" t="str">
        <f>HYPERLINK("#'10.1.1-2 Solid waste treatment'!A1", "10.1.1-2 Solid waste treatment")</f>
        <v>10.1.1-2 Solid waste treatment</v>
      </c>
    </row>
    <row r="43" spans="1:11" ht="20.100000000000001" customHeight="1" x14ac:dyDescent="0.25"/>
    <row r="44" spans="1:11" ht="20.100000000000001" customHeight="1" x14ac:dyDescent="0.25"/>
    <row r="45" spans="1:11" ht="20.100000000000001" customHeight="1" x14ac:dyDescent="0.25">
      <c r="A45" s="94" t="s">
        <v>1</v>
      </c>
    </row>
    <row r="46" spans="1:11" ht="20.100000000000001" customHeight="1" x14ac:dyDescent="0.25">
      <c r="A46" s="5" t="str">
        <f>HYPERLINK("#'Constants - Pasture Beef'!A1", "Constants - Pasture Beef")</f>
        <v>Constants - Pasture Beef</v>
      </c>
    </row>
    <row r="47" spans="1:11" ht="20.100000000000001" customHeight="1" x14ac:dyDescent="0.25">
      <c r="A47" s="5" t="str">
        <f>HYPERLINK("#'Constants - Ag Residue'!A1", "Constants - Ag residue")</f>
        <v>Constants - Ag residue</v>
      </c>
    </row>
    <row r="48" spans="1:11"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8"/>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400C648-818F-4D16-B92F-6F37518DE4CD}">
      <formula1>_xlfn.TRIMRANGE(INDIRECT("Table_FuelTypesPerUse["&amp;D17&amp;"]"))</formula1>
    </dataValidation>
    <dataValidation type="list" allowBlank="1" showInputMessage="1" showErrorMessage="1" sqref="D17:D21" xr:uid="{29EFF88F-EAF8-4EF0-A333-F91724B3BB42}">
      <formula1>INDIRECT("Table_FuelTypesPerUse[#Headers]")</formula1>
    </dataValidation>
    <dataValidation type="list" allowBlank="1" showInputMessage="1" showErrorMessage="1" sqref="E11" xr:uid="{EEB5DEC6-8A9E-4401-9D1B-9744D7C6E2A6}">
      <formula1>"Metro, Non-metro"</formula1>
    </dataValidation>
    <dataValidation type="list" allowBlank="1" showInputMessage="1" showErrorMessage="1" sqref="D29:D30" xr:uid="{0BE48A13-6158-409F-ADF6-C871E52D8256}">
      <formula1>INDIRECT("Table_SourceData_OrganicFertiliserTypes[Organic fertiliser type]")</formula1>
    </dataValidation>
    <dataValidation type="list" allowBlank="1" showInputMessage="1" showErrorMessage="1" sqref="E49" xr:uid="{7BBF1D84-D680-4EE3-AF2E-9F4C7FDD4627}">
      <formula1>INDIRECT("Table_SourceData_Swine_CropProdSystems[Production system]")</formula1>
    </dataValidation>
    <dataValidation type="list" allowBlank="1" showInputMessage="1" showErrorMessage="1" sqref="E50" xr:uid="{1F422EA6-47B0-4CF5-A9C3-FD4B87131FD8}">
      <formula1>INDIRECT("Table_SourceData_Swine_IrrigationMethods[Irrigation method]")</formula1>
    </dataValidation>
    <dataValidation type="list" allowBlank="1" showInputMessage="1" showErrorMessage="1" sqref="E234 E239 E244 E278 E273 E268 E146 E134 E110 E122" xr:uid="{A47A8CCF-9FC2-4FB3-BAB1-16A32C943E3C}">
      <formula1>"Yes, No"</formula1>
    </dataValidation>
    <dataValidation type="list" allowBlank="1" showInputMessage="1" showErrorMessage="1" sqref="E210" xr:uid="{48C12B77-EDD1-4A48-A420-34C1BAE82AC5}">
      <formula1>INDIRECT("Table_SourceData_Dairy_ProductionSystemTemplates[Area]")</formula1>
    </dataValidation>
    <dataValidation type="list" allowBlank="1" showInputMessage="1" showErrorMessage="1" sqref="D262" xr:uid="{D4294DBF-ABAE-49F7-A45C-33D72187D7B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4DB2-51AE-4D47-8349-318AFC9A68F6}">
  <dimension ref="A1:L365"/>
  <sheetViews>
    <sheetView showGridLines="0" topLeftCell="A24"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653</v>
      </c>
      <c r="E5" s="23" t="s">
        <v>654</v>
      </c>
      <c r="F5" s="26" t="s">
        <v>111</v>
      </c>
    </row>
    <row r="6" spans="1:10" ht="20.100000000000001" customHeight="1" x14ac:dyDescent="0.25">
      <c r="E6" s="9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20"/>
      <c r="D8" s="120"/>
      <c r="E8" s="120"/>
      <c r="F8" s="120"/>
      <c r="G8" s="120"/>
      <c r="H8" s="120"/>
      <c r="I8" s="120"/>
      <c r="J8" s="120"/>
    </row>
    <row r="9" spans="1:10" ht="20.100000000000001" customHeight="1" x14ac:dyDescent="0.25">
      <c r="A9" s="5" t="str">
        <f>HYPERLINK("#'Input - Enterprise'!A1", "Enterprise")</f>
        <v>Enterprise</v>
      </c>
      <c r="D9" s="2" t="s">
        <v>655</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3" t="s">
        <v>656</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Pasture'!A1", "Pasture")</f>
        <v>Pasture</v>
      </c>
      <c r="D13" s="46" t="s">
        <v>657</v>
      </c>
      <c r="E13" s="49"/>
      <c r="F13" s="8"/>
    </row>
    <row r="14" spans="1:10" ht="20.100000000000001" customHeight="1" x14ac:dyDescent="0.25">
      <c r="A14" s="5" t="str">
        <f>HYPERLINK("#'Input - Fertiliser'!A1", "Fertiliser")</f>
        <v>Fertiliser</v>
      </c>
      <c r="D14" s="8"/>
      <c r="E14" s="8"/>
      <c r="F14" s="8"/>
    </row>
    <row r="15" spans="1:10" ht="20.100000000000001" customHeight="1" x14ac:dyDescent="0.25">
      <c r="A15" s="5" t="str">
        <f>HYPERLINK("#'Input - Fuel'!A1", "Fuel")</f>
        <v>Fuel</v>
      </c>
      <c r="D15" s="1" t="s">
        <v>658</v>
      </c>
      <c r="E15" s="189">
        <v>30000</v>
      </c>
      <c r="F15" s="26" t="s">
        <v>659</v>
      </c>
    </row>
    <row r="16" spans="1:10" ht="20.100000000000001" customHeight="1" x14ac:dyDescent="0.25">
      <c r="A16" s="92" t="str">
        <f>HYPERLINK("#'Input - Electricity'!A1", "Electricity")</f>
        <v>Electricity</v>
      </c>
      <c r="D16" s="1" t="s">
        <v>660</v>
      </c>
      <c r="E16" s="25" t="str">
        <f>IF(X_Cell_Site_State="Western Australia", X_Cell_Site_Region, X_Cell_Site_State)</f>
        <v>Western Australia - Outback (South)</v>
      </c>
      <c r="F16" s="8"/>
    </row>
    <row r="17" spans="1:11" ht="20.100000000000001" customHeight="1" x14ac:dyDescent="0.25">
      <c r="A17" s="5" t="str">
        <f>HYPERLINK("#'Input - Farm Inputs'!A1", "Farm Inputs")</f>
        <v>Farm Inputs</v>
      </c>
      <c r="D17" s="1" t="s">
        <v>661</v>
      </c>
      <c r="E17" s="23" t="s">
        <v>662</v>
      </c>
      <c r="F17" s="26" t="s">
        <v>111</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c r="C20" s="120"/>
      <c r="D20" s="120"/>
      <c r="E20" s="120"/>
      <c r="F20" s="120"/>
      <c r="G20" s="120"/>
      <c r="H20" s="120"/>
      <c r="I20" s="120"/>
      <c r="J20" s="120"/>
    </row>
    <row r="21" spans="1:11" ht="20.100000000000001" customHeight="1" x14ac:dyDescent="0.25">
      <c r="D21" s="2" t="s">
        <v>663</v>
      </c>
    </row>
    <row r="22" spans="1:11" ht="20.100000000000001" customHeight="1" x14ac:dyDescent="0.25">
      <c r="E22" s="98" t="str">
        <f>IF(E16="ACT", "", "ALERT: Your farm is not in the ACT, so the JRPP is not applicable")</f>
        <v>ALERT: Your farm is not in the ACT, so the JRPP is not applicable</v>
      </c>
    </row>
    <row r="23" spans="1:11" ht="20.100000000000001" customHeight="1" x14ac:dyDescent="0.25">
      <c r="A23" s="6" t="s">
        <v>2</v>
      </c>
      <c r="D23" s="1" t="s">
        <v>664</v>
      </c>
      <c r="E23" s="189">
        <v>30000</v>
      </c>
      <c r="F23" s="26" t="s">
        <v>659</v>
      </c>
    </row>
    <row r="24" spans="1:11" ht="20.100000000000001" customHeight="1" x14ac:dyDescent="0.25">
      <c r="A24" s="5" t="str">
        <f>HYPERLINK("#'3.2.1.1-2 Enteric Methane'!A1", "3.2.1.1-2 Enteric methane")</f>
        <v>3.2.1.1-2 Enteric methane</v>
      </c>
      <c r="D24" s="1" t="s">
        <v>665</v>
      </c>
      <c r="E24" s="28">
        <v>0.1</v>
      </c>
      <c r="F24" s="26" t="s">
        <v>176</v>
      </c>
    </row>
    <row r="25" spans="1:11" ht="20.100000000000001" customHeight="1" x14ac:dyDescent="0.25">
      <c r="A25" s="5" t="str">
        <f>HYPERLINK("#'4.2.1.1-2 Methane'!A1", "4.2.1.1-2 Manure methane")</f>
        <v>4.2.1.1-2 Manure methane</v>
      </c>
      <c r="D25" s="1" t="s">
        <v>666</v>
      </c>
      <c r="E25" s="28">
        <v>0.1</v>
      </c>
      <c r="F25" s="26" t="s">
        <v>176</v>
      </c>
    </row>
    <row r="26" spans="1:11" ht="20.100000000000001" customHeight="1" x14ac:dyDescent="0.25">
      <c r="A26" s="5" t="str">
        <f>HYPERLINK("#'4.2.1.3-4 Soil direct N20'!A1", "4.2.1.3-4 Soil direct N2O")</f>
        <v>4.2.1.3-4 Soil direct N2O</v>
      </c>
    </row>
    <row r="27" spans="1:11" ht="20.100000000000001" customHeight="1" x14ac:dyDescent="0.25">
      <c r="A27" s="5" t="str">
        <f>HYPERLINK("#'4.2.1.5-6 Soil Atmos Dep'!A1", "4.2.1.5-6 Soil atm. deposition")</f>
        <v>4.2.1.5-6 Soil atm. deposition</v>
      </c>
      <c r="D27" s="1" t="s">
        <v>667</v>
      </c>
      <c r="E27" s="189">
        <v>10000</v>
      </c>
      <c r="F27" s="26" t="s">
        <v>659</v>
      </c>
    </row>
    <row r="28" spans="1:11" ht="20.100000000000001" customHeight="1" x14ac:dyDescent="0.25">
      <c r="A28" s="5" t="str">
        <f>HYPERLINK("#'4.2.1.7-8 Soil leach runoff'!A1", "4.2.1.7-8 Soil leach &amp; runoff")</f>
        <v>4.2.1.7-8 Soil leach &amp; runoff</v>
      </c>
    </row>
    <row r="29" spans="1:11" ht="20.100000000000001" customHeight="1" x14ac:dyDescent="0.25">
      <c r="A29" s="5" t="str">
        <f>HYPERLINK("#'5.1.1.1-2 Inorganic fert N2O'!A1", "5.1.1.1-2 Inorganic fert N2O")</f>
        <v>5.1.1.1-2 Inorganic fert N2O</v>
      </c>
      <c r="D29" s="1" t="s">
        <v>668</v>
      </c>
      <c r="E29" s="190" t="str">
        <f>TEXT('Input - Site'!E12, "dd mmm yyyy")</f>
        <v>NO - Not in leaching zone</v>
      </c>
      <c r="K29" s="168"/>
    </row>
    <row r="30" spans="1:11" ht="20.100000000000001" customHeight="1" x14ac:dyDescent="0.25">
      <c r="A30" s="5" t="str">
        <f>HYPERLINK("#'5.1.1.3-4 Inorganic fert CO2'!A1", "5.1.1.3-4 Inorganic fert CO2")</f>
        <v>5.1.1.3-4 Inorganic fert CO2</v>
      </c>
      <c r="D30" s="1" t="s">
        <v>669</v>
      </c>
      <c r="E30" s="190" t="str">
        <f>TEXT('Input - Site'!E13, "dd mmm yyyy")</f>
        <v>02 Nov 1900</v>
      </c>
      <c r="K30" s="168"/>
    </row>
    <row r="31" spans="1:11" ht="20.100000000000001" customHeight="1" x14ac:dyDescent="0.25">
      <c r="A31" s="5" t="str">
        <f>HYPERLINK("#'5.2.1.1-2 Organic Fert N2O'!A1", "5.2.1.1-2 Organic fert N2O")</f>
        <v>5.2.1.1-2 Organic fert N2O</v>
      </c>
      <c r="K31" s="168"/>
    </row>
    <row r="32" spans="1:11" ht="20.100000000000001" customHeight="1" x14ac:dyDescent="0.25">
      <c r="A32" s="5" t="str">
        <f>HYPERLINK("#'5.3.1.1-2 Lime CO2'!A1", "5.3.1.1-2 Lime CO2")</f>
        <v>5.3.1.1-2 Lime CO2</v>
      </c>
      <c r="D32" s="93" t="s">
        <v>670</v>
      </c>
      <c r="K32" s="168"/>
    </row>
    <row r="33" spans="1:12" ht="20.100000000000001" customHeight="1" x14ac:dyDescent="0.25">
      <c r="A33" s="5" t="str">
        <f>HYPERLINK("#'5.4.1.1-4 Atmos deposition'!A1", "5.4.1.1-4 Atmos. deposition")</f>
        <v>5.4.1.1-4 Atmos. deposition</v>
      </c>
      <c r="K33" s="168"/>
    </row>
    <row r="34" spans="1:12" ht="20.100000000000001" customHeight="1" x14ac:dyDescent="0.25">
      <c r="A34" s="5" t="str">
        <f>HYPERLINK("#'5.5.1.1-2 Leaching and runoff'!A1", "5.5.1.1-2 Leaching &amp; runoff")</f>
        <v>5.5.1.1-2 Leaching &amp; runoff</v>
      </c>
      <c r="D34" s="46" t="s">
        <v>671</v>
      </c>
      <c r="E34" s="49"/>
      <c r="K34" s="168"/>
    </row>
    <row r="35" spans="1:12" ht="20.100000000000001" customHeight="1" x14ac:dyDescent="0.25">
      <c r="A35" s="5" t="str">
        <f>HYPERLINK("#'6.2.1.1-2 Pasture residue N2O'!A1", "6.2.1.1-2 Pasture residue N2O")</f>
        <v>6.2.1.1-2 Pasture residue N2O</v>
      </c>
    </row>
    <row r="36" spans="1:12" ht="20.100000000000001" customHeight="1" x14ac:dyDescent="0.25">
      <c r="A36" s="5" t="str">
        <f>HYPERLINK("#'6.3.1.1-2 Leach runoff pasture'!A1", "6.3.1.1-2 Leach &amp; runoff (pasture)")</f>
        <v>6.3.1.1-2 Leach &amp; runoff (pasture)</v>
      </c>
      <c r="D36" s="119" t="s">
        <v>672</v>
      </c>
      <c r="E36" s="119" t="s">
        <v>673</v>
      </c>
      <c r="F36" s="119" t="s">
        <v>674</v>
      </c>
      <c r="G36" s="119" t="s">
        <v>675</v>
      </c>
      <c r="H36" s="119" t="s">
        <v>676</v>
      </c>
      <c r="I36" s="119" t="s">
        <v>677</v>
      </c>
      <c r="L36" s="168"/>
    </row>
    <row r="37" spans="1:12" ht="20.100000000000001" customHeight="1" x14ac:dyDescent="0.25">
      <c r="A37" s="5" t="str">
        <f>HYPERLINK("#'8.1.1.1-2 Transport fuel'!A1", "8.1.1.1-2 Transport fuel")</f>
        <v>8.1.1.1-2 Transport fuel</v>
      </c>
      <c r="D37" s="30" t="s">
        <v>678</v>
      </c>
      <c r="E37" s="23" t="s">
        <v>679</v>
      </c>
      <c r="F37" s="191">
        <v>44185</v>
      </c>
      <c r="G37" s="30">
        <v>12</v>
      </c>
      <c r="H37" s="25">
        <f>Table_Input_RECSurrendered[[#This Row],[Number of certificates]]</f>
        <v>12</v>
      </c>
      <c r="I37" s="25" t="e">
        <f>IF(DATEDIF(Table_Input_RECSurrendered[[#This Row],[Generation date]],DATEVALUE($E$30),"M")&gt;36,"Ineligible - older than 36 months","Elegible")</f>
        <v>#NUM!</v>
      </c>
      <c r="L37" s="168"/>
    </row>
    <row r="38" spans="1:12" ht="20.100000000000001" customHeight="1" x14ac:dyDescent="0.25">
      <c r="A38" s="5" t="str">
        <f>HYPERLINK("#'8.2.1.1-2 Stationary fuel'!A1", "8.2.1.1-2 Stationary fuel")</f>
        <v>8.2.1.1-2 Stationary fuel</v>
      </c>
      <c r="D38" s="30" t="s">
        <v>680</v>
      </c>
      <c r="E38" s="23" t="s">
        <v>681</v>
      </c>
      <c r="F38" s="191">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HYPERLINK("#'14.1.1-2 Purchased electricity'!A1", "14.1.1-2 Purchased electricity")</f>
        <v>14.1.1-2 Purchased electricity</v>
      </c>
      <c r="D39" s="30" t="s">
        <v>682</v>
      </c>
      <c r="E39" s="23" t="s">
        <v>679</v>
      </c>
      <c r="F39" s="191">
        <v>45438</v>
      </c>
      <c r="G39" s="30">
        <v>5</v>
      </c>
      <c r="H39" s="25">
        <f>Table_Input_RECSurrendered[[#This Row],[Number of certificates]]</f>
        <v>5</v>
      </c>
      <c r="I39" s="25" t="e">
        <f>IF(DATEDIF(Table_Input_RECSurrendered[[#This Row],[Generation date]],DATEVALUE($E$30),"M")&gt;36,"Ineligible - older than 36 months","Elegible")</f>
        <v>#NUM!</v>
      </c>
    </row>
    <row r="40" spans="1:12" s="168" customFormat="1" ht="20.100000000000001" customHeight="1" x14ac:dyDescent="0.25">
      <c r="A40" s="5" t="str">
        <f>HYPERLINK("#'15 Scope 3'!A1", "15 Scope 3")</f>
        <v>15 Scope 3</v>
      </c>
      <c r="C40" s="1"/>
      <c r="D40" s="1"/>
      <c r="E40" s="1"/>
      <c r="F40" s="1"/>
      <c r="G40" s="1"/>
      <c r="H40" s="1"/>
      <c r="I40" s="1"/>
      <c r="J40" s="1"/>
    </row>
    <row r="41" spans="1:12" s="168" customFormat="1" ht="20.100000000000001" customHeight="1" x14ac:dyDescent="0.25">
      <c r="A41" s="5" t="str">
        <f>HYPERLINK("#'Calcs - Manure sent off-site'!A1", "Calcs - Manure sent off-site")</f>
        <v>Calcs - Manure sent off-site</v>
      </c>
      <c r="C41" s="1"/>
      <c r="D41" s="1" t="s">
        <v>683</v>
      </c>
      <c r="E41" s="25">
        <f>SUMIF(Table_Input_RECSurrendered[Elegibility], "Elegible", Table_Input_RECSurrendered[MWh])</f>
        <v>0</v>
      </c>
      <c r="F41" s="26" t="s">
        <v>676</v>
      </c>
      <c r="G41" s="1"/>
      <c r="H41" s="1"/>
      <c r="I41" s="1"/>
      <c r="J41" s="1"/>
      <c r="L41" s="168" t="s">
        <v>684</v>
      </c>
    </row>
    <row r="42" spans="1:12" ht="20.100000000000001" customHeight="1" x14ac:dyDescent="0.25">
      <c r="A42" s="5" t="str">
        <f>HYPERLINK("#'10.1.1-2 Solid waste treatment'!A1", "10.1.1-2 Solid waste treatment")</f>
        <v>10.1.1-2 Solid waste treatment</v>
      </c>
      <c r="C42" s="153"/>
    </row>
    <row r="43" spans="1:12" ht="20.100000000000001" customHeight="1" x14ac:dyDescent="0.25">
      <c r="C43" s="153"/>
      <c r="D43" s="93" t="s">
        <v>685</v>
      </c>
      <c r="J43" s="153"/>
    </row>
    <row r="44" spans="1:12" ht="20.100000000000001" customHeight="1" x14ac:dyDescent="0.25"/>
    <row r="45" spans="1:12" ht="20.100000000000001" customHeight="1" x14ac:dyDescent="0.25">
      <c r="A45" s="94" t="s">
        <v>1</v>
      </c>
      <c r="D45" s="119" t="s">
        <v>672</v>
      </c>
      <c r="E45" s="119" t="s">
        <v>625</v>
      </c>
      <c r="F45" s="119" t="s">
        <v>674</v>
      </c>
      <c r="G45" s="119" t="s">
        <v>675</v>
      </c>
      <c r="H45" s="119" t="s">
        <v>676</v>
      </c>
      <c r="I45" s="119" t="s">
        <v>677</v>
      </c>
    </row>
    <row r="46" spans="1:12" ht="20.100000000000001" customHeight="1" x14ac:dyDescent="0.25">
      <c r="A46" s="5" t="str">
        <f>HYPERLINK("#'Constants - Pasture Beef'!A1", "Constants - Pasture Beef")</f>
        <v>Constants - Pasture Beef</v>
      </c>
      <c r="D46" s="30" t="s">
        <v>686</v>
      </c>
      <c r="E46" s="192" t="str">
        <f>"Issued for generated electricity"</f>
        <v>Issued for generated electricity</v>
      </c>
      <c r="F46" s="191">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A47" s="5" t="str">
        <f>HYPERLINK("#'Constants - Ag Residue'!A1", "Constants - Ag residue")</f>
        <v>Constants - Ag residue</v>
      </c>
      <c r="D47" s="30" t="s">
        <v>687</v>
      </c>
      <c r="E47" s="192" t="str">
        <f>"Issued for generated electricity"</f>
        <v>Issued for generated electricity</v>
      </c>
      <c r="F47" s="191">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5" t="str">
        <f>HYPERLINK("#'Constants - Common Livestock'!A1", "Constants - Common Livestock")</f>
        <v>Constants - Common Livestock</v>
      </c>
      <c r="D48" s="193">
        <v>45597</v>
      </c>
      <c r="E48" s="192" t="str">
        <f>"Issued for generated electricity"</f>
        <v>Issued for generated electricity</v>
      </c>
      <c r="F48" s="191">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1:6" ht="20.100000000000001" customHeight="1" x14ac:dyDescent="0.25">
      <c r="A49" s="5" t="str">
        <f>HYPERLINK("#'Constants - Electricity'!A1", "Constants - Electricity")</f>
        <v>Constants - Electricity</v>
      </c>
    </row>
    <row r="50" spans="1:6" ht="20.100000000000001" customHeight="1" x14ac:dyDescent="0.25">
      <c r="A50" s="5" t="str">
        <f>HYPERLINK("#'Constants - Fertiliser'!A1", "Constants - Fertiliser")</f>
        <v>Constants - Fertiliser</v>
      </c>
      <c r="D50" s="1" t="s">
        <v>688</v>
      </c>
      <c r="E50" s="25">
        <f>SUMIF(Table_Input_RECConsumedByEntity[Elegibility], "Elegible", Table_Input_RECConsumedByEntity[Number of certificates])</f>
        <v>0</v>
      </c>
      <c r="F50" s="26" t="s">
        <v>676</v>
      </c>
    </row>
    <row r="51" spans="1:6" ht="20.100000000000001" customHeight="1" x14ac:dyDescent="0.25">
      <c r="A51" s="5" t="str">
        <f>HYPERLINK("#'Constants - Fuel'!A1", "Constants - Fuel")</f>
        <v>Constants - Fuel</v>
      </c>
    </row>
    <row r="52" spans="1:6" ht="20.100000000000001" customHeight="1" x14ac:dyDescent="0.25">
      <c r="A52" s="5" t="str">
        <f>HYPERLINK("#'Constants - Scope 3'!A1", "Constants - Scope 3")</f>
        <v>Constants - Scope 3</v>
      </c>
    </row>
    <row r="53" spans="1:6" ht="20.100000000000001" customHeight="1" x14ac:dyDescent="0.25">
      <c r="A53" s="5" t="str">
        <f>HYPERLINK("#'Constants - Common'!A1", "Constants - Common")</f>
        <v>Constants - Common</v>
      </c>
    </row>
    <row r="54" spans="1:6" ht="20.100000000000001" customHeight="1" x14ac:dyDescent="0.25">
      <c r="A54" s="5" t="str">
        <f>HYPERLINK("#'Acknowledgements'!A1", "Acknowledgements")</f>
        <v>Acknowledgements</v>
      </c>
    </row>
    <row r="55" spans="1:6" ht="20.100000000000001" customHeight="1" x14ac:dyDescent="0.25">
      <c r="A55" s="5" t="str">
        <f>HYPERLINK("#'Constants - Solid Waste'!A1", "Constants - Solid Waste")</f>
        <v>Constants - Solid Waste</v>
      </c>
      <c r="D55" s="194"/>
    </row>
    <row r="56" spans="1:6" ht="20.100000000000001" customHeight="1" x14ac:dyDescent="0.25">
      <c r="D56" s="194"/>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8"/>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EB423EAB-0573-4CCA-AD15-214880DDE0BB}">
      <formula1>"Location-based (simpler), Market-based (more complex)"</formula1>
    </dataValidation>
    <dataValidation type="list" allowBlank="1" showInputMessage="1" showErrorMessage="1" sqref="E37:E39" xr:uid="{6A864560-73C6-45D7-B193-C21DDD2D8842}">
      <formula1>"Purchased certificate, Issued for generated electricity"</formula1>
    </dataValidation>
    <dataValidation type="list" allowBlank="1" showInputMessage="1" showErrorMessage="1" sqref="E17" xr:uid="{F074A56C-BD9F-4B4B-A82C-BEFA9A468A4D}">
      <formula1>INDIRECT("Table_SourceData_ElectricityEFs[State, Territory or grid description]")</formula1>
    </dataValidation>
    <dataValidation type="list" allowBlank="1" showInputMessage="1" showErrorMessage="1" sqref="E69" xr:uid="{07730477-A072-428D-AF07-5981B2C05E92}">
      <formula1>INDIRECT("Table_SourceData_Swine_IrrigationMethods[Irrigation method]")</formula1>
    </dataValidation>
    <dataValidation type="list" allowBlank="1" showInputMessage="1" showErrorMessage="1" sqref="E253 E258 E263 E297 E292 E287 E165 E153 E129 E141" xr:uid="{D1152B9E-C543-4874-8089-F3000FB9F57C}">
      <formula1>"Yes, No"</formula1>
    </dataValidation>
    <dataValidation type="list" allowBlank="1" showInputMessage="1" showErrorMessage="1" sqref="E229" xr:uid="{17AF708F-48B9-48AC-AB5A-C3ACD173E25C}">
      <formula1>INDIRECT("Table_SourceData_Dairy_ProductionSystemTemplates[Area]")</formula1>
    </dataValidation>
    <dataValidation type="list" allowBlank="1" showInputMessage="1" showErrorMessage="1" sqref="D281" xr:uid="{46965818-804E-4421-A6B5-9AD38CA590AB}">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B5FE-E68A-49B2-9E52-572C6FE7072D}">
  <sheetPr>
    <tabColor theme="5" tint="-0.249977111117893"/>
  </sheetPr>
  <dimension ref="A1:S227"/>
  <sheetViews>
    <sheetView showGridLines="0" topLeftCell="A72" workbookViewId="0" zoomScale="100" zoomScaleNormal="100">
      <selection activeCell="A55" sqref="A55"/>
    </sheetView>
  </sheetViews>
  <sheetFormatPr defaultRowHeight="15.75" x14ac:dyDescent="0.25"/>
  <cols>
    <col min="1" max="1" width="30.7109375" style="91" customWidth="1"/>
    <col min="2" max="2" width="4.7109375" style="91" customWidth="1"/>
    <col min="3" max="3" width="4.7109375" style="252" customWidth="1"/>
    <col min="4" max="4" width="47.140625" style="252" customWidth="1"/>
    <col min="5" max="10" width="30.7109375" style="252" customWidth="1"/>
    <col min="11" max="18" width="35" style="1" customWidth="1"/>
    <col min="19" max="19" width="5.28515625" style="1" customWidth="1"/>
    <col min="20" max="16384" width="9.140625" style="91"/>
  </cols>
  <sheetData>
    <row r="1" spans="1:19" ht="30" customHeight="1" x14ac:dyDescent="0.35">
      <c r="A1" s="16" t="e" vm="1">
        <v>#VALUE!</v>
      </c>
      <c r="C1" s="38" t="s">
        <v>927</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928</v>
      </c>
      <c r="E5" s="35"/>
      <c r="F5" s="35"/>
      <c r="G5" s="35"/>
      <c r="H5" s="35"/>
      <c r="I5" s="35"/>
      <c r="J5" s="35"/>
    </row>
    <row r="6" spans="1:19" ht="20.100000000000001" customHeight="1" x14ac:dyDescent="0.25">
      <c r="A6"/>
      <c r="C6" s="1"/>
      <c r="D6" s="249" t="s">
        <v>929</v>
      </c>
      <c r="E6" s="250"/>
      <c r="F6" s="250"/>
      <c r="G6" s="250"/>
      <c r="H6" s="250"/>
      <c r="I6" s="250"/>
      <c r="J6" s="250"/>
    </row>
    <row r="7" spans="1:19" ht="20.100000000000001" customHeight="1" x14ac:dyDescent="0.25">
      <c r="A7"/>
      <c r="C7" s="1"/>
      <c r="D7" s="251" t="s">
        <v>930</v>
      </c>
      <c r="E7" s="251"/>
      <c r="F7" s="137"/>
      <c r="G7" s="55"/>
      <c r="H7" s="35"/>
      <c r="I7" s="35"/>
      <c r="J7" s="35"/>
    </row>
    <row r="8" spans="1:19" ht="20.100000000000001" customHeight="1" x14ac:dyDescent="0.25">
      <c r="A8" s="7" t="s">
        <v>0</v>
      </c>
      <c r="C8" s="1"/>
      <c r="D8" s="56" t="s">
        <v>931</v>
      </c>
      <c r="E8" s="57"/>
      <c r="F8" s="57"/>
      <c r="G8" s="58"/>
      <c r="H8" s="35"/>
      <c r="I8" s="35"/>
      <c r="J8" s="35"/>
    </row>
    <row r="9" spans="1:19" ht="20.100000000000001" customHeight="1" x14ac:dyDescent="0.25">
      <c r="A9" s="5" t="str">
        <f>HYPERLINK("#'Input - Enterprise'!A1", "Enterprise")</f>
        <v>Enterprise</v>
      </c>
      <c r="C9" s="1"/>
      <c r="D9" s="250"/>
      <c r="E9" s="250"/>
      <c r="F9" s="250"/>
      <c r="G9" s="250"/>
      <c r="H9" s="250"/>
      <c r="I9" s="250"/>
      <c r="J9" s="250"/>
      <c r="K9" s="98"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8"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8"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3" t="s">
        <v>642</v>
      </c>
      <c r="E10" s="253" t="s">
        <v>932</v>
      </c>
      <c r="F10" s="253" t="s">
        <v>933</v>
      </c>
      <c r="G10" s="253" t="s">
        <v>479</v>
      </c>
      <c r="H10" s="253" t="s">
        <v>934</v>
      </c>
      <c r="I10" s="253" t="s">
        <v>935</v>
      </c>
      <c r="J10" s="253" t="s">
        <v>936</v>
      </c>
      <c r="K10" s="99" t="s">
        <v>937</v>
      </c>
      <c r="L10" s="99" t="s">
        <v>938</v>
      </c>
      <c r="M10" s="99" t="s">
        <v>939</v>
      </c>
      <c r="N10" s="99" t="s">
        <v>940</v>
      </c>
      <c r="O10" s="99" t="s">
        <v>941</v>
      </c>
      <c r="P10" s="99" t="s">
        <v>942</v>
      </c>
      <c r="Q10" s="99" t="s">
        <v>943</v>
      </c>
      <c r="R10" s="99" t="s">
        <v>944</v>
      </c>
    </row>
    <row r="11" spans="1:19" ht="20.100000000000001" customHeight="1" x14ac:dyDescent="0.25">
      <c r="A11" s="5" t="str">
        <f>HYPERLINK("#'Input - Pasture Beef'!A1", "Pasture Beef")</f>
        <v>Pasture Beef</v>
      </c>
      <c r="D11" s="254" t="s">
        <v>945</v>
      </c>
      <c r="E11" s="255">
        <v>10</v>
      </c>
      <c r="F11" s="23" t="s">
        <v>548</v>
      </c>
      <c r="G11" s="86">
        <v>100</v>
      </c>
      <c r="H11" s="25">
        <f>Table_Input_Pesticides[[#This Row],[Amount applied per ha]]*Table_Input_Pesticides[[#This Row],[Application area (ha)]]</f>
        <v>1000</v>
      </c>
      <c r="I11" s="23" t="s">
        <v>946</v>
      </c>
      <c r="J11" s="23" t="s">
        <v>947</v>
      </c>
      <c r="K11" s="86">
        <v>100</v>
      </c>
      <c r="L11" s="25">
        <f>Table_Input_Pesticides[[#This Row],[Total applied]]*Table_Input_Pesticides[[#This Row],[Active ingredient 1 amount]]*IF(Table_Input_Pesticides[[#This Row],[Constituent unit (select)]]="fraction of product", 1, 10^-3)</f>
        <v>100</v>
      </c>
      <c r="M11" s="23" t="s">
        <v>947</v>
      </c>
      <c r="N11" s="86">
        <v>100</v>
      </c>
      <c r="O11" s="25">
        <f>Table_Input_Pesticides[[#This Row],[Total applied]]*Table_Input_Pesticides[[#This Row],[Active ingredient 2 amount]]*IF(Table_Input_Pesticides[[#This Row],[Constituent unit (select)]]="fraction of product", 1, 10^-3)</f>
        <v>100</v>
      </c>
      <c r="P11" s="23" t="s">
        <v>948</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4" t="s">
        <v>949</v>
      </c>
      <c r="E12" s="255">
        <v>10</v>
      </c>
      <c r="F12" s="23" t="s">
        <v>950</v>
      </c>
      <c r="G12" s="86">
        <v>100</v>
      </c>
      <c r="H12" s="25">
        <f>Table_Input_Pesticides[[#This Row],[Amount applied per ha]]*Table_Input_Pesticides[[#This Row],[Application area (ha)]]</f>
        <v>1000</v>
      </c>
      <c r="I12" s="23" t="s">
        <v>946</v>
      </c>
      <c r="J12" s="23" t="s">
        <v>947</v>
      </c>
      <c r="K12" s="86">
        <v>100</v>
      </c>
      <c r="L12" s="25">
        <f>Table_Input_Pesticides[[#This Row],[Total applied]]*Table_Input_Pesticides[[#This Row],[Active ingredient 1 amount]]*IF(Table_Input_Pesticides[[#This Row],[Constituent unit (select)]]="fraction of product", 1, 10^-3)</f>
        <v>100</v>
      </c>
      <c r="M12" s="23" t="s">
        <v>951</v>
      </c>
      <c r="N12" s="86">
        <v>100</v>
      </c>
      <c r="O12" s="25">
        <f>Table_Input_Pesticides[[#This Row],[Total applied]]*Table_Input_Pesticides[[#This Row],[Active ingredient 2 amount]]*IF(Table_Input_Pesticides[[#This Row],[Constituent unit (select)]]="fraction of product", 1, 10^-3)</f>
        <v>100</v>
      </c>
      <c r="P12" s="23" t="s">
        <v>952</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Pasture'!A1", "Pasture")</f>
        <v>Pasture</v>
      </c>
      <c r="C13" s="1"/>
      <c r="D13" s="254" t="s">
        <v>953</v>
      </c>
      <c r="E13" s="255">
        <v>10</v>
      </c>
      <c r="F13" s="23" t="s">
        <v>548</v>
      </c>
      <c r="G13" s="86">
        <v>100</v>
      </c>
      <c r="H13" s="25">
        <f>Table_Input_Pesticides[[#This Row],[Amount applied per ha]]*Table_Input_Pesticides[[#This Row],[Application area (ha)]]</f>
        <v>1000</v>
      </c>
      <c r="I13" s="23" t="s">
        <v>946</v>
      </c>
      <c r="J13" s="23" t="s">
        <v>947</v>
      </c>
      <c r="K13" s="86">
        <v>100</v>
      </c>
      <c r="L13" s="25">
        <f>Table_Input_Pesticides[[#This Row],[Total applied]]*Table_Input_Pesticides[[#This Row],[Active ingredient 1 amount]]*IF(Table_Input_Pesticides[[#This Row],[Constituent unit (select)]]="fraction of product", 1, 10^-3)</f>
        <v>100</v>
      </c>
      <c r="M13" s="23" t="s">
        <v>954</v>
      </c>
      <c r="N13" s="86">
        <v>100</v>
      </c>
      <c r="O13" s="25">
        <f>Table_Input_Pesticides[[#This Row],[Total applied]]*Table_Input_Pesticides[[#This Row],[Active ingredient 2 amount]]*IF(Table_Input_Pesticides[[#This Row],[Constituent unit (select)]]="fraction of product", 1, 10^-3)</f>
        <v>100</v>
      </c>
      <c r="P13" s="23" t="s">
        <v>955</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Fertiliser'!A1", "Fertiliser")</f>
        <v>Fertiliser</v>
      </c>
      <c r="D14" s="254"/>
      <c r="E14" s="25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Fuel'!A1", "Fuel")</f>
        <v>Fuel</v>
      </c>
      <c r="D15" s="254"/>
      <c r="E15" s="25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Electricity'!A1", "Electricity")</f>
        <v>Electricity</v>
      </c>
      <c r="D16" s="254"/>
      <c r="E16" s="25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92" t="str">
        <f>HYPERLINK("#'Input - Farm Inputs'!A1", "Farm Inputs")</f>
        <v>Farm Inputs</v>
      </c>
      <c r="C17" s="1"/>
      <c r="D17" s="254"/>
      <c r="E17" s="25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Freight'!A1", "Freight")</f>
        <v>Freight</v>
      </c>
      <c r="C18" s="1"/>
      <c r="D18" s="254"/>
      <c r="E18" s="25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Manure sent off-site'!A1", "Manure sent off-site")</f>
        <v>Manure sent off-site</v>
      </c>
      <c r="D19" s="254"/>
      <c r="E19" s="25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5" t="str">
        <f>HYPERLINK("#'Input - Solid waste'!A1", "Solid waste")</f>
        <v>Solid waste</v>
      </c>
      <c r="D20" s="254"/>
      <c r="E20" s="25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c r="D22" s="249" t="s">
        <v>956</v>
      </c>
      <c r="E22" s="1"/>
      <c r="F22" s="1"/>
    </row>
    <row r="23" spans="1:18" ht="20.100000000000001" customHeight="1" x14ac:dyDescent="0.25">
      <c r="A23" s="6" t="s">
        <v>2</v>
      </c>
      <c r="D23" s="119" t="s">
        <v>642</v>
      </c>
      <c r="E23" s="119" t="s">
        <v>957</v>
      </c>
      <c r="F23" s="119" t="s">
        <v>958</v>
      </c>
    </row>
    <row r="24" spans="1:18" ht="20.100000000000001" customHeight="1" x14ac:dyDescent="0.25">
      <c r="A24" s="5" t="str">
        <f>HYPERLINK("#'3.2.1.1-2 Enteric Methane'!A1", "3.2.1.1-2 Enteric methane")</f>
        <v>3.2.1.1-2 Enteric methane</v>
      </c>
      <c r="D24" s="44" t="s">
        <v>959</v>
      </c>
      <c r="E24" s="23" t="s">
        <v>960</v>
      </c>
      <c r="F24" s="86">
        <v>100</v>
      </c>
    </row>
    <row r="25" spans="1:18" ht="20.100000000000001" customHeight="1" x14ac:dyDescent="0.25">
      <c r="A25" s="5" t="str">
        <f>HYPERLINK("#'4.2.1.1-2 Methane'!A1", "4.2.1.1-2 Manure methane")</f>
        <v>4.2.1.1-2 Manure methane</v>
      </c>
      <c r="C25" s="1"/>
      <c r="D25" s="44" t="s">
        <v>961</v>
      </c>
      <c r="E25" s="102" t="s">
        <v>962</v>
      </c>
      <c r="F25" s="105">
        <v>100</v>
      </c>
    </row>
    <row r="26" spans="1:18" ht="20.100000000000001" customHeight="1" x14ac:dyDescent="0.25">
      <c r="A26" s="5" t="str">
        <f>HYPERLINK("#'4.2.1.3-4 Soil direct N20'!A1", "4.2.1.3-4 Soil direct N2O")</f>
        <v>4.2.1.3-4 Soil direct N2O</v>
      </c>
      <c r="C26" s="1"/>
      <c r="D26" s="44" t="s">
        <v>963</v>
      </c>
      <c r="E26" s="102" t="s">
        <v>964</v>
      </c>
      <c r="F26" s="105">
        <v>100</v>
      </c>
    </row>
    <row r="27" spans="1:18" ht="20.100000000000001" customHeight="1" x14ac:dyDescent="0.25">
      <c r="A27" s="5" t="str">
        <f>HYPERLINK("#'4.2.1.5-6 Soil Atmos Dep'!A1", "4.2.1.5-6 Soil atm. deposition")</f>
        <v>4.2.1.5-6 Soil atm. deposition</v>
      </c>
      <c r="C27" s="1"/>
      <c r="D27" s="44" t="s">
        <v>963</v>
      </c>
      <c r="E27" s="102" t="s">
        <v>964</v>
      </c>
      <c r="F27" s="105">
        <v>100</v>
      </c>
    </row>
    <row r="28" spans="1:18" ht="20.100000000000001" customHeight="1" x14ac:dyDescent="0.25">
      <c r="A28" s="5" t="str">
        <f>HYPERLINK("#'4.2.1.7-8 Soil leach runoff'!A1", "4.2.1.7-8 Soil leach &amp; runoff")</f>
        <v>4.2.1.7-8 Soil leach &amp; runoff</v>
      </c>
      <c r="D28" s="44" t="s">
        <v>959</v>
      </c>
      <c r="E28" s="102" t="s">
        <v>960</v>
      </c>
      <c r="F28" s="105">
        <v>100</v>
      </c>
    </row>
    <row r="29" spans="1:18" ht="20.100000000000001" customHeight="1" x14ac:dyDescent="0.25">
      <c r="A29" s="5" t="str">
        <f>HYPERLINK("#'5.1.1.1-2 Inorganic fert N2O'!A1", "5.1.1.1-2 Inorganic fert N2O")</f>
        <v>5.1.1.1-2 Inorganic fert N2O</v>
      </c>
      <c r="D29" s="44" t="s">
        <v>959</v>
      </c>
      <c r="E29" s="102" t="s">
        <v>960</v>
      </c>
      <c r="F29" s="105">
        <v>100</v>
      </c>
    </row>
    <row r="30" spans="1:18" ht="20.100000000000001" customHeight="1" x14ac:dyDescent="0.25">
      <c r="A30" s="5" t="str">
        <f>HYPERLINK("#'5.1.1.3-4 Inorganic fert CO2'!A1", "5.1.1.3-4 Inorganic fert CO2")</f>
        <v>5.1.1.3-4 Inorganic fert CO2</v>
      </c>
      <c r="D30" s="44"/>
      <c r="E30" s="23"/>
      <c r="F30" s="86"/>
    </row>
    <row r="31" spans="1:18" ht="20.100000000000001" customHeight="1" x14ac:dyDescent="0.25">
      <c r="A31" s="5" t="str">
        <f>HYPERLINK("#'5.2.1.1-2 Organic Fert N2O'!A1", "5.2.1.1-2 Organic fert N2O")</f>
        <v>5.2.1.1-2 Organic fert N2O</v>
      </c>
      <c r="D31" s="44"/>
      <c r="E31" s="23"/>
      <c r="F31" s="86"/>
    </row>
    <row r="32" spans="1:18" ht="20.100000000000001" customHeight="1" x14ac:dyDescent="0.25">
      <c r="A32" s="5" t="str">
        <f>HYPERLINK("#'5.3.1.1-2 Lime CO2'!A1", "5.3.1.1-2 Lime CO2")</f>
        <v>5.3.1.1-2 Lime CO2</v>
      </c>
      <c r="D32" s="44"/>
      <c r="E32" s="23"/>
      <c r="F32" s="86"/>
    </row>
    <row r="33" spans="1:6" ht="20.100000000000001" customHeight="1" x14ac:dyDescent="0.25">
      <c r="A33" s="5" t="str">
        <f>HYPERLINK("#'5.4.1.1-4 Atmos deposition'!A1", "5.4.1.1-4 Atmos. deposition")</f>
        <v>5.4.1.1-4 Atmos. deposition</v>
      </c>
      <c r="D33" s="44"/>
      <c r="E33" s="23"/>
      <c r="F33" s="86"/>
    </row>
    <row r="34" spans="1:6" ht="20.100000000000001" customHeight="1" x14ac:dyDescent="0.25">
      <c r="A34" s="5" t="str">
        <f>HYPERLINK("#'5.5.1.1-2 Leaching and runoff'!A1", "5.5.1.1-2 Leaching &amp; runoff")</f>
        <v>5.5.1.1-2 Leaching &amp; runoff</v>
      </c>
    </row>
    <row r="35" spans="1:6" ht="20.100000000000001" customHeight="1" x14ac:dyDescent="0.25">
      <c r="A35" s="5" t="str">
        <f>HYPERLINK("#'6.2.1.1-2 Pasture residue N2O'!A1", "6.2.1.1-2 Pasture residue N2O")</f>
        <v>6.2.1.1-2 Pasture residue N2O</v>
      </c>
      <c r="D35" s="249" t="s">
        <v>965</v>
      </c>
      <c r="E35" s="1"/>
      <c r="F35" s="1"/>
    </row>
    <row r="36" spans="1:6" ht="20.100000000000001" customHeight="1" x14ac:dyDescent="0.25">
      <c r="A36" s="5" t="str">
        <f>HYPERLINK("#'6.3.1.1-2 Leach runoff pasture'!A1", "6.3.1.1-2 Leach &amp; runoff (pasture)")</f>
        <v>6.3.1.1-2 Leach &amp; runoff (pasture)</v>
      </c>
      <c r="D36" s="119" t="s">
        <v>642</v>
      </c>
      <c r="E36" s="119" t="s">
        <v>957</v>
      </c>
      <c r="F36" s="119" t="s">
        <v>966</v>
      </c>
    </row>
    <row r="37" spans="1:6" ht="20.100000000000001" customHeight="1" x14ac:dyDescent="0.25">
      <c r="A37" s="5" t="str">
        <f>HYPERLINK("#'8.1.1.1-2 Transport fuel'!A1", "8.1.1.1-2 Transport fuel")</f>
        <v>8.1.1.1-2 Transport fuel</v>
      </c>
      <c r="D37" s="44" t="s">
        <v>967</v>
      </c>
      <c r="E37" s="101" t="s">
        <v>968</v>
      </c>
      <c r="F37" s="86">
        <v>100</v>
      </c>
    </row>
    <row r="38" spans="1:6" ht="20.100000000000001" customHeight="1" x14ac:dyDescent="0.25">
      <c r="A38" s="5" t="str">
        <f>HYPERLINK("#'8.2.1.1-2 Stationary fuel'!A1", "8.2.1.1-2 Stationary fuel")</f>
        <v>8.2.1.1-2 Stationary fuel</v>
      </c>
      <c r="D38" s="44" t="s">
        <v>969</v>
      </c>
      <c r="E38" s="104" t="s">
        <v>970</v>
      </c>
      <c r="F38" s="105">
        <v>100</v>
      </c>
    </row>
    <row r="39" spans="1:6" ht="20.100000000000001" customHeight="1" x14ac:dyDescent="0.25">
      <c r="A39" s="5" t="str">
        <f>HYPERLINK("#'14.1.1-2 Purchased electricity'!A1", "14.1.1-2 Purchased electricity")</f>
        <v>14.1.1-2 Purchased electricity</v>
      </c>
      <c r="D39" s="44" t="s">
        <v>971</v>
      </c>
      <c r="E39" s="104" t="s">
        <v>972</v>
      </c>
      <c r="F39" s="105">
        <v>100</v>
      </c>
    </row>
    <row r="40" spans="1:6" ht="20.100000000000001" customHeight="1" x14ac:dyDescent="0.25">
      <c r="A40" s="5" t="str">
        <f>HYPERLINK("#'15 Scope 3'!A1", "15 Scope 3")</f>
        <v>15 Scope 3</v>
      </c>
      <c r="D40" s="44" t="s">
        <v>973</v>
      </c>
      <c r="E40" s="104" t="s">
        <v>974</v>
      </c>
      <c r="F40" s="105">
        <v>100</v>
      </c>
    </row>
    <row r="41" spans="1:6" ht="20.100000000000001" customHeight="1" x14ac:dyDescent="0.25">
      <c r="A41" s="5" t="str">
        <f>HYPERLINK("#'Calcs - Manure sent off-site'!A1", "Calcs - Manure sent off-site")</f>
        <v>Calcs - Manure sent off-site</v>
      </c>
      <c r="D41" s="44" t="s">
        <v>967</v>
      </c>
      <c r="E41" s="104" t="s">
        <v>968</v>
      </c>
      <c r="F41" s="105">
        <v>100</v>
      </c>
    </row>
    <row r="42" spans="1:6" ht="20.100000000000001" customHeight="1" x14ac:dyDescent="0.25">
      <c r="A42" s="5" t="str">
        <f>HYPERLINK("#'10.1.1-2 Solid waste treatment'!A1", "10.1.1-2 Solid waste treatment")</f>
        <v>10.1.1-2 Solid waste treatment</v>
      </c>
      <c r="D42" s="44" t="s">
        <v>969</v>
      </c>
      <c r="E42" s="104" t="s">
        <v>970</v>
      </c>
      <c r="F42" s="105">
        <v>100</v>
      </c>
    </row>
    <row r="43" spans="1:6" ht="20.100000000000001" customHeight="1" x14ac:dyDescent="0.25">
      <c r="A43"/>
      <c r="D43" s="44"/>
      <c r="E43" s="101"/>
      <c r="F43" s="86"/>
    </row>
    <row r="44" spans="1:6" ht="20.100000000000001" customHeight="1" x14ac:dyDescent="0.25">
      <c r="A44"/>
      <c r="C44" s="1"/>
      <c r="D44" s="44"/>
      <c r="E44" s="101"/>
      <c r="F44" s="86"/>
    </row>
    <row r="45" spans="1:6" ht="20.100000000000001" customHeight="1" x14ac:dyDescent="0.25">
      <c r="A45" s="94" t="s">
        <v>1</v>
      </c>
      <c r="C45" s="1"/>
      <c r="D45" s="44"/>
      <c r="E45" s="101"/>
      <c r="F45" s="86"/>
    </row>
    <row r="46" spans="1:6" ht="20.100000000000001" customHeight="1" x14ac:dyDescent="0.25">
      <c r="A46" s="5" t="str">
        <f>HYPERLINK("#'Constants - Pasture Beef'!A1", "Constants - Pasture Beef")</f>
        <v>Constants - Pasture Beef</v>
      </c>
      <c r="C46" s="1"/>
      <c r="D46" s="44"/>
      <c r="E46" s="101"/>
      <c r="F46" s="86"/>
    </row>
    <row r="47" spans="1:6" ht="20.100000000000001" customHeight="1" x14ac:dyDescent="0.25">
      <c r="A47" s="5" t="str">
        <f>HYPERLINK("#'Constants - Ag Residue'!A1", "Constants - Ag residue")</f>
        <v>Constants - Ag residue</v>
      </c>
      <c r="C47" s="1"/>
    </row>
    <row r="48" spans="1:6" ht="20.100000000000001" customHeight="1" x14ac:dyDescent="0.25">
      <c r="A48" s="5" t="str">
        <f>HYPERLINK("#'Constants - Common Livestock'!A1", "Constants - Common Livestock")</f>
        <v>Constants - Common Livestock</v>
      </c>
      <c r="C48" s="1"/>
    </row>
    <row r="49" spans="1:17" ht="20.100000000000001" customHeight="1" x14ac:dyDescent="0.25">
      <c r="A49" s="5" t="str">
        <f>HYPERLINK("#'Constants - Electricity'!A1", "Constants - Electricity")</f>
        <v>Constants - Electricity</v>
      </c>
      <c r="C49" s="1"/>
      <c r="D49" s="2" t="s">
        <v>975</v>
      </c>
    </row>
    <row r="50" spans="1:17" ht="20.100000000000001" customHeight="1" x14ac:dyDescent="0.25">
      <c r="A50" s="5" t="str">
        <f>HYPERLINK("#'Constants - Fertiliser'!A1", "Constants - Fertiliser")</f>
        <v>Constants - Fertiliser</v>
      </c>
      <c r="D50" s="249" t="s">
        <v>976</v>
      </c>
      <c r="E50" s="256"/>
      <c r="F50" s="257"/>
    </row>
    <row r="51" spans="1:17" ht="20.100000000000001" customHeight="1" x14ac:dyDescent="0.25">
      <c r="A51" s="5" t="str">
        <f>HYPERLINK("#'Constants - Fuel'!A1", "Constants - Fuel")</f>
        <v>Constants - Fuel</v>
      </c>
      <c r="D51" s="1" t="str" cm="1">
        <f t="array" ref="D51:D53">Table_SourceData_Scope3_LickBlocks[Product]</f>
        <v>Lick block, dry season mix</v>
      </c>
      <c r="E51" s="86">
        <v>100</v>
      </c>
      <c r="F51" s="26" t="s">
        <v>549</v>
      </c>
    </row>
    <row r="52" spans="1:17" ht="20.100000000000001" customHeight="1" x14ac:dyDescent="0.25">
      <c r="A52" s="5" t="str">
        <f>HYPERLINK("#'Constants - Scope 3'!A1", "Constants - Scope 3")</f>
        <v>Constants - Scope 3</v>
      </c>
      <c r="D52" s="1" t="str">
        <v>Lick block, mineral</v>
      </c>
      <c r="E52" s="86">
        <v>100</v>
      </c>
      <c r="F52" s="26" t="s">
        <v>549</v>
      </c>
    </row>
    <row r="53" spans="1:17" ht="20.100000000000001" customHeight="1" x14ac:dyDescent="0.25">
      <c r="A53" s="5" t="str">
        <f>HYPERLINK("#'Constants - Common'!A1", "Constants - Common")</f>
        <v>Constants - Common</v>
      </c>
      <c r="D53" s="1" t="str">
        <v>Lick block, weaner</v>
      </c>
      <c r="E53" s="86">
        <v>100</v>
      </c>
      <c r="F53" s="26" t="s">
        <v>549</v>
      </c>
    </row>
    <row r="54" spans="1:17" ht="20.100000000000001" customHeight="1" x14ac:dyDescent="0.25">
      <c r="A54" s="5" t="str">
        <f>HYPERLINK("#'Acknowledgements'!A1", "Acknowledgements")</f>
        <v>Acknowledgements</v>
      </c>
      <c r="D54" s="1"/>
      <c r="E54" s="1"/>
      <c r="F54" s="1"/>
    </row>
    <row r="55" spans="1:17" ht="20.100000000000001" customHeight="1" x14ac:dyDescent="0.25">
      <c r="A55" s="5" t="str">
        <f>HYPERLINK("#'Constants - Solid Waste'!A1", "Constants - Solid Waste")</f>
        <v>Constants - Solid Waste</v>
      </c>
      <c r="D55" s="249" t="s">
        <v>977</v>
      </c>
      <c r="E55" s="35"/>
      <c r="F55" s="35"/>
    </row>
    <row r="56" spans="1:17" ht="20.100000000000001" customHeight="1" x14ac:dyDescent="0.25">
      <c r="A56"/>
      <c r="D56" s="1" t="str" cm="1">
        <f t="array" ref="D56:D59">Table_SourceData_Scope3_MixedRations[Product]</f>
        <v>Feed for chickens</v>
      </c>
      <c r="E56" s="86">
        <v>100</v>
      </c>
      <c r="F56" s="26" t="s">
        <v>549</v>
      </c>
    </row>
    <row r="57" spans="1:17" ht="20.100000000000001" customHeight="1" x14ac:dyDescent="0.25">
      <c r="A57"/>
      <c r="D57" s="1" t="str">
        <v>Feed for dairy calves</v>
      </c>
      <c r="E57" s="86">
        <v>100</v>
      </c>
      <c r="F57" s="26" t="s">
        <v>549</v>
      </c>
    </row>
    <row r="58" spans="1:17" ht="20.100000000000001" customHeight="1" x14ac:dyDescent="0.25">
      <c r="A58"/>
      <c r="D58" s="1" t="str">
        <v>Feed for dairy cows</v>
      </c>
      <c r="E58" s="86">
        <v>100</v>
      </c>
      <c r="F58" s="26" t="s">
        <v>549</v>
      </c>
    </row>
    <row r="59" spans="1:17" ht="20.100000000000001" customHeight="1" x14ac:dyDescent="0.25">
      <c r="A59"/>
      <c r="D59" s="1" t="str">
        <v>Feed for pigs</v>
      </c>
      <c r="E59" s="86">
        <v>100</v>
      </c>
      <c r="F59" s="26" t="s">
        <v>549</v>
      </c>
    </row>
    <row r="60" spans="1:17" ht="20.100000000000001" customHeight="1" x14ac:dyDescent="0.25">
      <c r="A60"/>
      <c r="D60" s="35"/>
      <c r="E60" s="35"/>
      <c r="F60" s="35"/>
    </row>
    <row r="61" spans="1:17" ht="20.100000000000001" customHeight="1" x14ac:dyDescent="0.25">
      <c r="A61"/>
      <c r="D61" s="249" t="s">
        <v>978</v>
      </c>
      <c r="E61" s="35"/>
      <c r="F61" s="35"/>
    </row>
    <row r="62" spans="1:17" ht="20.100000000000001" customHeight="1" x14ac:dyDescent="0.25">
      <c r="A62"/>
      <c r="D62" s="197" t="s">
        <v>979</v>
      </c>
      <c r="E62" s="197" t="s">
        <v>980</v>
      </c>
      <c r="F62" s="197" t="s">
        <v>503</v>
      </c>
      <c r="G62" s="197" t="s">
        <v>981</v>
      </c>
      <c r="H62" s="197" t="s">
        <v>482</v>
      </c>
      <c r="I62" s="197" t="s">
        <v>982</v>
      </c>
      <c r="J62" s="197" t="s">
        <v>983</v>
      </c>
      <c r="K62" s="197" t="s">
        <v>484</v>
      </c>
      <c r="L62" s="197" t="s">
        <v>984</v>
      </c>
      <c r="M62" s="197" t="s">
        <v>985</v>
      </c>
      <c r="N62" s="197" t="s">
        <v>486</v>
      </c>
      <c r="O62" s="197" t="s">
        <v>986</v>
      </c>
      <c r="P62" s="197" t="s">
        <v>987</v>
      </c>
      <c r="Q62" s="197" t="s">
        <v>488</v>
      </c>
    </row>
    <row r="63" spans="1:17" ht="20.100000000000001" customHeight="1" x14ac:dyDescent="0.25">
      <c r="A63"/>
      <c r="D63" s="37"/>
      <c r="E63" s="258">
        <v>1200</v>
      </c>
      <c r="F63" s="23" t="s">
        <v>988</v>
      </c>
      <c r="G63" s="23" t="s">
        <v>341</v>
      </c>
      <c r="H63" s="198">
        <v>0.35</v>
      </c>
      <c r="I63" s="23" t="s">
        <v>989</v>
      </c>
      <c r="J63" s="23" t="s">
        <v>341</v>
      </c>
      <c r="K63" s="198">
        <v>0.22</v>
      </c>
      <c r="L63" s="23" t="s">
        <v>990</v>
      </c>
      <c r="M63" s="23" t="s">
        <v>356</v>
      </c>
      <c r="N63" s="198">
        <v>0.12</v>
      </c>
      <c r="O63" s="23" t="s">
        <v>991</v>
      </c>
      <c r="P63" s="23" t="s">
        <v>352</v>
      </c>
      <c r="Q63" s="198">
        <v>0.05</v>
      </c>
    </row>
    <row r="64" spans="1:17" ht="20.100000000000001" customHeight="1" x14ac:dyDescent="0.25">
      <c r="A64"/>
      <c r="D64" s="37"/>
      <c r="E64" s="258">
        <v>3456</v>
      </c>
      <c r="F64" s="23" t="s">
        <v>992</v>
      </c>
      <c r="G64" s="23" t="s">
        <v>345</v>
      </c>
      <c r="H64" s="198">
        <v>0.2</v>
      </c>
      <c r="I64" s="23" t="s">
        <v>992</v>
      </c>
      <c r="J64" s="23" t="s">
        <v>340</v>
      </c>
      <c r="K64" s="198">
        <v>0.2</v>
      </c>
      <c r="L64" s="23"/>
      <c r="M64" s="23"/>
      <c r="N64" s="198"/>
      <c r="O64" s="23"/>
      <c r="P64" s="23"/>
      <c r="Q64" s="198"/>
    </row>
    <row r="65" spans="1:17" ht="20.100000000000001" customHeight="1" x14ac:dyDescent="0.25">
      <c r="A65"/>
      <c r="D65" s="37" t="s">
        <v>993</v>
      </c>
      <c r="E65" s="258">
        <v>300</v>
      </c>
      <c r="F65" s="23" t="s">
        <v>994</v>
      </c>
      <c r="G65" s="23" t="s">
        <v>343</v>
      </c>
      <c r="H65" s="198">
        <v>0.8</v>
      </c>
      <c r="I65" s="23" t="s">
        <v>995</v>
      </c>
      <c r="J65" s="23" t="s">
        <v>996</v>
      </c>
      <c r="K65" s="198">
        <v>0.2</v>
      </c>
      <c r="L65" s="23"/>
      <c r="M65" s="23"/>
      <c r="N65" s="198"/>
      <c r="O65" s="23"/>
      <c r="P65" s="23"/>
      <c r="Q65" s="198"/>
    </row>
    <row r="66" spans="1:17" ht="20.100000000000001" customHeight="1" x14ac:dyDescent="0.25">
      <c r="A66"/>
      <c r="D66" s="37"/>
      <c r="E66" s="258">
        <v>500</v>
      </c>
      <c r="F66" s="23" t="s">
        <v>997</v>
      </c>
      <c r="G66" s="23" t="s">
        <v>343</v>
      </c>
      <c r="H66" s="198">
        <v>1</v>
      </c>
      <c r="I66" s="23"/>
      <c r="J66" s="23"/>
      <c r="K66" s="198"/>
      <c r="L66" s="23"/>
      <c r="M66" s="23"/>
      <c r="N66" s="198"/>
      <c r="O66" s="23"/>
      <c r="P66" s="23"/>
      <c r="Q66" s="198"/>
    </row>
    <row r="67" spans="1:17" ht="20.100000000000001" customHeight="1" x14ac:dyDescent="0.25">
      <c r="A67"/>
      <c r="D67" s="37"/>
      <c r="E67" s="258"/>
      <c r="F67" s="23"/>
      <c r="G67" s="23"/>
      <c r="H67" s="198"/>
      <c r="I67" s="23"/>
      <c r="J67" s="23"/>
      <c r="K67" s="198"/>
      <c r="L67" s="23"/>
      <c r="M67" s="23"/>
      <c r="N67" s="198"/>
      <c r="O67" s="23"/>
      <c r="P67" s="23"/>
      <c r="Q67" s="198"/>
    </row>
    <row r="68" spans="1:17" ht="20.100000000000001" customHeight="1" x14ac:dyDescent="0.25">
      <c r="A68"/>
      <c r="D68" s="37"/>
      <c r="E68" s="258"/>
      <c r="F68" s="23"/>
      <c r="G68" s="23"/>
      <c r="H68" s="198"/>
      <c r="I68" s="23"/>
      <c r="J68" s="23"/>
      <c r="K68" s="198"/>
      <c r="L68" s="23"/>
      <c r="M68" s="23"/>
      <c r="N68" s="198"/>
      <c r="O68" s="23"/>
      <c r="P68" s="23"/>
      <c r="Q68" s="198"/>
    </row>
    <row r="69" spans="1:17" ht="20.100000000000001" customHeight="1" x14ac:dyDescent="0.25">
      <c r="A69"/>
      <c r="D69" s="37"/>
      <c r="E69" s="258"/>
      <c r="F69" s="23"/>
      <c r="G69" s="23"/>
      <c r="H69" s="198"/>
      <c r="I69" s="23"/>
      <c r="J69" s="23"/>
      <c r="K69" s="198"/>
      <c r="L69" s="23"/>
      <c r="M69" s="23"/>
      <c r="N69" s="198"/>
      <c r="O69" s="23"/>
      <c r="P69" s="23"/>
      <c r="Q69" s="198"/>
    </row>
    <row r="70" spans="1:17" ht="20.100000000000001" customHeight="1" x14ac:dyDescent="0.25">
      <c r="A70"/>
      <c r="D70" s="37"/>
      <c r="E70" s="258"/>
      <c r="F70" s="23"/>
      <c r="G70" s="23"/>
      <c r="H70" s="198"/>
      <c r="I70" s="23"/>
      <c r="J70" s="23"/>
      <c r="K70" s="198"/>
      <c r="L70" s="23"/>
      <c r="M70" s="23"/>
      <c r="N70" s="198"/>
      <c r="O70" s="23"/>
      <c r="P70" s="23"/>
      <c r="Q70" s="198"/>
    </row>
    <row r="71" spans="1:17" ht="20.100000000000001" customHeight="1" x14ac:dyDescent="0.25">
      <c r="A71"/>
      <c r="D71" s="37"/>
      <c r="E71" s="258"/>
      <c r="F71" s="23"/>
      <c r="G71" s="23"/>
      <c r="H71" s="198"/>
      <c r="I71" s="23"/>
      <c r="J71" s="23"/>
      <c r="K71" s="198"/>
      <c r="L71" s="23"/>
      <c r="M71" s="23"/>
      <c r="N71" s="198"/>
      <c r="O71" s="23"/>
      <c r="P71" s="23"/>
      <c r="Q71" s="198"/>
    </row>
    <row r="72" spans="1:17" ht="20.100000000000001" customHeight="1" x14ac:dyDescent="0.25">
      <c r="A72"/>
      <c r="D72" s="37"/>
      <c r="E72" s="258"/>
      <c r="F72" s="23"/>
      <c r="G72" s="23"/>
      <c r="H72" s="198"/>
      <c r="I72" s="23"/>
      <c r="J72" s="23"/>
      <c r="K72" s="198"/>
      <c r="L72" s="23"/>
      <c r="M72" s="23"/>
      <c r="N72" s="198"/>
      <c r="O72" s="23"/>
      <c r="P72" s="23"/>
      <c r="Q72" s="198"/>
    </row>
    <row r="73" spans="1:17" ht="20.100000000000001" customHeight="1" x14ac:dyDescent="0.25">
      <c r="A73"/>
    </row>
    <row r="74" spans="1:17" ht="20.100000000000001" customHeight="1" x14ac:dyDescent="0.25">
      <c r="A74"/>
      <c r="K74" s="252"/>
    </row>
    <row r="75" spans="1:17" ht="20.100000000000001" customHeight="1" x14ac:dyDescent="0.25">
      <c r="A75"/>
      <c r="D75" s="2" t="s">
        <v>998</v>
      </c>
    </row>
    <row r="76" spans="1:17" ht="20.100000000000001" customHeight="1" x14ac:dyDescent="0.25">
      <c r="A76"/>
      <c r="D76" s="36"/>
    </row>
    <row r="77" spans="1:17" ht="20.100000000000001" customHeight="1" x14ac:dyDescent="0.25">
      <c r="A77"/>
      <c r="D77" s="259" t="s">
        <v>999</v>
      </c>
      <c r="E77" s="259" t="s">
        <v>1000</v>
      </c>
      <c r="F77" s="259" t="s">
        <v>1001</v>
      </c>
      <c r="G77" s="259" t="s">
        <v>710</v>
      </c>
    </row>
    <row r="78" spans="1:17" ht="20.100000000000001" customHeight="1" x14ac:dyDescent="0.25">
      <c r="A78"/>
      <c r="D78" s="44" t="s">
        <v>1002</v>
      </c>
      <c r="E78" s="44" t="s">
        <v>1003</v>
      </c>
      <c r="F78" s="86">
        <v>10000</v>
      </c>
      <c r="G78" s="23" t="s">
        <v>1004</v>
      </c>
    </row>
    <row r="79" spans="1:17" ht="20.100000000000001" customHeight="1" x14ac:dyDescent="0.25">
      <c r="A79"/>
      <c r="D79" s="44" t="s">
        <v>1005</v>
      </c>
      <c r="E79" s="44" t="s">
        <v>1006</v>
      </c>
      <c r="F79" s="86">
        <v>1000</v>
      </c>
      <c r="G79" s="23" t="s">
        <v>1007</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1008</v>
      </c>
    </row>
    <row r="91" spans="1:10" ht="20.100000000000001" customHeight="1" x14ac:dyDescent="0.25">
      <c r="A91"/>
    </row>
    <row r="92" spans="1:10" ht="20.100000000000001" customHeight="1" x14ac:dyDescent="0.25">
      <c r="A92"/>
      <c r="D92" s="164" t="s">
        <v>1009</v>
      </c>
      <c r="E92" s="164" t="s">
        <v>1010</v>
      </c>
      <c r="F92" s="164" t="s">
        <v>1011</v>
      </c>
      <c r="G92" s="164" t="s">
        <v>1012</v>
      </c>
      <c r="H92" s="164" t="s">
        <v>1013</v>
      </c>
      <c r="J92" s="35"/>
    </row>
    <row r="93" spans="1:10" ht="20.100000000000001" customHeight="1" x14ac:dyDescent="0.25">
      <c r="A93"/>
      <c r="D93" s="254" t="s">
        <v>1014</v>
      </c>
      <c r="E93" s="86">
        <v>100000</v>
      </c>
      <c r="F93" s="23" t="s">
        <v>1015</v>
      </c>
      <c r="G93" s="86">
        <v>0.02</v>
      </c>
      <c r="H93" s="25">
        <f>Table_Input_Packaging[[#This Row],[Quantity purchased]]*Table_Input_Packaging[[#This Row],[Weight per unit (kg)]]</f>
        <v>2000</v>
      </c>
      <c r="J93" s="35"/>
    </row>
    <row r="94" spans="1:10" ht="20.100000000000001" customHeight="1" x14ac:dyDescent="0.25">
      <c r="A94"/>
      <c r="D94" s="254"/>
      <c r="E94" s="260"/>
      <c r="F94" s="23"/>
      <c r="G94" s="86"/>
      <c r="H94" s="25">
        <f>Table_Input_Packaging[[#This Row],[Quantity purchased]]*Table_Input_Packaging[[#This Row],[Weight per unit (kg)]]</f>
        <v>0</v>
      </c>
      <c r="J94" s="35"/>
    </row>
    <row r="95" spans="1:10" ht="20.100000000000001" customHeight="1" x14ac:dyDescent="0.25">
      <c r="A95"/>
      <c r="D95" s="254"/>
      <c r="E95" s="260"/>
      <c r="F95" s="23"/>
      <c r="G95" s="86"/>
      <c r="H95" s="25">
        <f>Table_Input_Packaging[[#This Row],[Quantity purchased]]*Table_Input_Packaging[[#This Row],[Weight per unit (kg)]]</f>
        <v>0</v>
      </c>
      <c r="J95" s="35"/>
    </row>
    <row r="96" spans="1:10" ht="20.100000000000001" customHeight="1" x14ac:dyDescent="0.25">
      <c r="A96"/>
      <c r="D96" s="254"/>
      <c r="E96" s="260"/>
      <c r="F96" s="23"/>
      <c r="G96" s="86"/>
      <c r="H96" s="25">
        <f>Table_Input_Packaging[[#This Row],[Quantity purchased]]*Table_Input_Packaging[[#This Row],[Weight per unit (kg)]]</f>
        <v>0</v>
      </c>
      <c r="J96" s="35"/>
    </row>
    <row r="97" spans="1:10" ht="20.100000000000001" customHeight="1" x14ac:dyDescent="0.25">
      <c r="A97"/>
      <c r="D97" s="254"/>
      <c r="E97" s="260"/>
      <c r="F97" s="23"/>
      <c r="G97" s="86"/>
      <c r="H97" s="25">
        <f>Table_Input_Packaging[[#This Row],[Quantity purchased]]*Table_Input_Packaging[[#This Row],[Weight per unit (kg)]]</f>
        <v>0</v>
      </c>
      <c r="J97" s="2"/>
    </row>
    <row r="98" spans="1:10" ht="20.100000000000001" customHeight="1" x14ac:dyDescent="0.25">
      <c r="A98"/>
      <c r="D98" s="254"/>
      <c r="E98" s="260"/>
      <c r="F98" s="23"/>
      <c r="G98" s="86"/>
      <c r="H98" s="25">
        <f>Table_Input_Packaging[[#This Row],[Quantity purchased]]*Table_Input_Packaging[[#This Row],[Weight per unit (kg)]]</f>
        <v>0</v>
      </c>
      <c r="J98" s="1"/>
    </row>
    <row r="99" spans="1:10" ht="20.100000000000001" customHeight="1" x14ac:dyDescent="0.25">
      <c r="A99"/>
      <c r="D99" s="254"/>
      <c r="E99" s="260"/>
      <c r="F99" s="23"/>
      <c r="G99" s="86"/>
      <c r="H99" s="25">
        <f>Table_Input_Packaging[[#This Row],[Quantity purchased]]*Table_Input_Packaging[[#This Row],[Weight per unit (kg)]]</f>
        <v>0</v>
      </c>
      <c r="J99" s="1"/>
    </row>
    <row r="100" spans="1:10" ht="20.100000000000001" customHeight="1" x14ac:dyDescent="0.25">
      <c r="A100"/>
      <c r="D100" s="254"/>
      <c r="E100" s="260"/>
      <c r="F100" s="23"/>
      <c r="G100" s="86"/>
      <c r="H100" s="25">
        <f>Table_Input_Packaging[[#This Row],[Quantity purchased]]*Table_Input_Packaging[[#This Row],[Weight per unit (kg)]]</f>
        <v>0</v>
      </c>
      <c r="J100" s="1"/>
    </row>
    <row r="101" spans="1:10" ht="20.100000000000001" customHeight="1" x14ac:dyDescent="0.25">
      <c r="A101"/>
      <c r="D101" s="254"/>
      <c r="E101" s="260"/>
      <c r="F101" s="23"/>
      <c r="G101" s="86"/>
      <c r="H101" s="25">
        <f>Table_Input_Packaging[[#This Row],[Quantity purchased]]*Table_Input_Packaging[[#This Row],[Weight per unit (kg)]]</f>
        <v>0</v>
      </c>
      <c r="J101" s="1"/>
    </row>
    <row r="102" spans="1:10" ht="20.100000000000001" customHeight="1" x14ac:dyDescent="0.25">
      <c r="A102"/>
      <c r="D102" s="254"/>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1016</v>
      </c>
    </row>
    <row r="106" spans="1:10" ht="20.100000000000001" customHeight="1" x14ac:dyDescent="0.25">
      <c r="A106"/>
      <c r="D106" s="36"/>
    </row>
    <row r="107" spans="1:10" ht="20.100000000000001" customHeight="1" x14ac:dyDescent="0.25">
      <c r="A107"/>
      <c r="D107" s="259" t="s">
        <v>1017</v>
      </c>
      <c r="E107" s="259" t="s">
        <v>1001</v>
      </c>
      <c r="F107" s="259" t="s">
        <v>710</v>
      </c>
      <c r="J107" s="1"/>
    </row>
    <row r="108" spans="1:10" ht="20.100000000000001" customHeight="1" x14ac:dyDescent="0.25">
      <c r="A108"/>
      <c r="D108" s="44" t="s">
        <v>1018</v>
      </c>
      <c r="E108" s="86">
        <v>10000</v>
      </c>
      <c r="F108" s="23" t="s">
        <v>549</v>
      </c>
      <c r="J108" s="1"/>
    </row>
    <row r="109" spans="1:10" ht="20.100000000000001" customHeight="1" x14ac:dyDescent="0.25">
      <c r="A109"/>
      <c r="D109" s="44" t="s">
        <v>1019</v>
      </c>
      <c r="E109" s="86">
        <v>100</v>
      </c>
      <c r="F109" s="23" t="s">
        <v>1020</v>
      </c>
      <c r="J109" s="1"/>
    </row>
    <row r="110" spans="1:10" ht="20.100000000000001" customHeight="1" x14ac:dyDescent="0.25">
      <c r="A110"/>
      <c r="D110" s="44" t="s">
        <v>1021</v>
      </c>
      <c r="E110" s="86">
        <v>10000</v>
      </c>
      <c r="F110" s="23" t="s">
        <v>549</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0"/>
    </row>
    <row r="120" spans="1:16" ht="20.100000000000001" customHeight="1" x14ac:dyDescent="0.25">
      <c r="A120"/>
      <c r="D120" s="2" t="s">
        <v>1022</v>
      </c>
      <c r="J120" s="35"/>
      <c r="P120" s="250"/>
    </row>
    <row r="121" spans="1:16" ht="20.100000000000001" customHeight="1" x14ac:dyDescent="0.25">
      <c r="A121"/>
      <c r="D121" s="1" t="str">
        <f>'Constants - Scope 3'!E204</f>
        <v>Barley grain (for seed)</v>
      </c>
      <c r="E121" s="86">
        <v>500</v>
      </c>
      <c r="F121" s="26" t="s">
        <v>549</v>
      </c>
      <c r="J121" s="2"/>
      <c r="P121" s="250"/>
    </row>
    <row r="122" spans="1:16" ht="20.100000000000001" customHeight="1" x14ac:dyDescent="0.25">
      <c r="A122"/>
      <c r="D122" s="1" t="str">
        <f>'Constants - Scope 3'!E205</f>
        <v>Maize grain (for seed)</v>
      </c>
      <c r="E122" s="86">
        <v>600</v>
      </c>
      <c r="F122" s="26" t="s">
        <v>549</v>
      </c>
      <c r="G122" s="35"/>
      <c r="H122" s="1"/>
      <c r="J122" s="1"/>
      <c r="P122" s="250"/>
    </row>
    <row r="123" spans="1:16" ht="20.100000000000001" customHeight="1" x14ac:dyDescent="0.25">
      <c r="A123"/>
      <c r="D123" s="1" t="str">
        <f>'Constants - Scope 3'!E207</f>
        <v>Oat grain (for seed)</v>
      </c>
      <c r="E123" s="86">
        <v>700</v>
      </c>
      <c r="F123" s="26" t="s">
        <v>549</v>
      </c>
      <c r="G123" s="35"/>
      <c r="H123" s="1"/>
      <c r="J123" s="1"/>
      <c r="P123" s="250"/>
    </row>
    <row r="124" spans="1:16" ht="20.100000000000001" customHeight="1" x14ac:dyDescent="0.25">
      <c r="A124"/>
      <c r="D124" s="1" t="str">
        <f>'Constants - Scope 3'!E208</f>
        <v>Sorghum grain (for seed)</v>
      </c>
      <c r="E124" s="86">
        <v>800</v>
      </c>
      <c r="F124" s="26" t="s">
        <v>549</v>
      </c>
      <c r="G124" s="35"/>
      <c r="H124" s="35"/>
      <c r="J124" s="1"/>
      <c r="N124" s="35"/>
      <c r="O124" s="35"/>
      <c r="P124" s="35"/>
    </row>
    <row r="125" spans="1:16" ht="20.100000000000001" customHeight="1" x14ac:dyDescent="0.25">
      <c r="A125"/>
      <c r="D125" s="1" t="str">
        <f>'Constants - Scope 3'!E209</f>
        <v>Wheat grain (for seed)</v>
      </c>
      <c r="E125" s="86">
        <v>900</v>
      </c>
      <c r="F125" s="26" t="s">
        <v>549</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1023</v>
      </c>
      <c r="G127" s="1"/>
      <c r="I127" s="35"/>
      <c r="J127" s="35"/>
    </row>
    <row r="128" spans="1:16" ht="20.100000000000001" customHeight="1" x14ac:dyDescent="0.25">
      <c r="A128"/>
      <c r="D128" s="1" t="str">
        <f>'Constants - Scope 3'!E202</f>
        <v>Animal ear tags (large)</v>
      </c>
      <c r="E128" s="86">
        <v>100</v>
      </c>
      <c r="F128" s="26" t="s">
        <v>1024</v>
      </c>
      <c r="G128" s="1"/>
      <c r="I128" s="35"/>
      <c r="J128" s="35"/>
    </row>
    <row r="129" spans="1:13" ht="20.100000000000001" customHeight="1" x14ac:dyDescent="0.25">
      <c r="A129"/>
      <c r="D129" s="1" t="str">
        <f>'Constants - Scope 3'!E203</f>
        <v>Animal ear tags (small)</v>
      </c>
      <c r="E129" s="86">
        <v>200</v>
      </c>
      <c r="F129" s="26" t="s">
        <v>1024</v>
      </c>
      <c r="G129" s="1"/>
      <c r="I129" s="35"/>
      <c r="L129" s="35"/>
      <c r="M129" s="35"/>
    </row>
    <row r="130" spans="1:13" ht="20.100000000000001" customHeight="1" x14ac:dyDescent="0.25">
      <c r="A130"/>
      <c r="D130" s="1" t="str">
        <f>'Constants - Scope 3'!E206</f>
        <v>Nylon netting</v>
      </c>
      <c r="E130" s="86">
        <v>300</v>
      </c>
      <c r="F130" s="26" t="s">
        <v>549</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1025</v>
      </c>
      <c r="G133" s="35"/>
      <c r="I133" s="1"/>
    </row>
    <row r="134" spans="1:13" ht="20.100000000000001" customHeight="1" x14ac:dyDescent="0.25">
      <c r="A134"/>
      <c r="D134" s="36"/>
      <c r="I134" s="1"/>
    </row>
    <row r="135" spans="1:13" ht="20.100000000000001" customHeight="1" x14ac:dyDescent="0.25">
      <c r="A135"/>
      <c r="D135" s="119" t="s">
        <v>1026</v>
      </c>
      <c r="E135" s="119" t="s">
        <v>802</v>
      </c>
      <c r="F135" s="119" t="s">
        <v>710</v>
      </c>
      <c r="I135" s="1"/>
    </row>
    <row r="136" spans="1:13" ht="20.100000000000001" customHeight="1" x14ac:dyDescent="0.25">
      <c r="A136"/>
      <c r="D136" s="44" t="s">
        <v>1027</v>
      </c>
      <c r="E136" s="86">
        <v>1000</v>
      </c>
      <c r="F136" s="44" t="s">
        <v>549</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1"/>
    </row>
    <row r="166" spans="11:19" ht="20.100000000000001" customHeight="1" x14ac:dyDescent="0.25">
      <c r="S166" s="91"/>
    </row>
    <row r="167" spans="11:19" ht="20.100000000000001" customHeight="1" x14ac:dyDescent="0.25">
      <c r="S167" s="91"/>
    </row>
    <row r="168" spans="11:19" ht="20.100000000000001" customHeight="1" x14ac:dyDescent="0.25">
      <c r="S168" s="91"/>
    </row>
    <row r="169" spans="11:19" ht="20.100000000000001" customHeight="1" x14ac:dyDescent="0.25">
      <c r="S169" s="91"/>
    </row>
    <row r="170" spans="11:19" ht="20.100000000000001" customHeight="1" x14ac:dyDescent="0.25">
      <c r="S170" s="91"/>
    </row>
    <row r="171" spans="11:19" ht="20.100000000000001" customHeight="1" x14ac:dyDescent="0.25">
      <c r="S171" s="91"/>
    </row>
    <row r="172" spans="11:19" ht="20.100000000000001" customHeight="1" x14ac:dyDescent="0.25">
      <c r="S172" s="91"/>
    </row>
    <row r="173" spans="11:19" ht="20.100000000000001" customHeight="1" x14ac:dyDescent="0.25">
      <c r="S173" s="91"/>
    </row>
    <row r="174" spans="11:19" ht="20.100000000000001" customHeight="1" x14ac:dyDescent="0.25">
      <c r="S174" s="91"/>
    </row>
    <row r="175" spans="11:19" ht="20.100000000000001" customHeight="1" x14ac:dyDescent="0.25">
      <c r="S175" s="91"/>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1"/>
    </row>
    <row r="181" spans="11:19" ht="20.100000000000001" customHeight="1" x14ac:dyDescent="0.25">
      <c r="S181" s="91"/>
    </row>
    <row r="182" spans="11:19" ht="20.100000000000001" customHeight="1" x14ac:dyDescent="0.25">
      <c r="S182" s="91"/>
    </row>
    <row r="183" spans="11:19" ht="20.100000000000001" customHeight="1" x14ac:dyDescent="0.25">
      <c r="S183" s="91"/>
    </row>
    <row r="184" spans="11:19" ht="20.100000000000001" customHeight="1" x14ac:dyDescent="0.25">
      <c r="S184" s="91"/>
    </row>
    <row r="185" spans="11:19" ht="20.100000000000001" customHeight="1" x14ac:dyDescent="0.25">
      <c r="S185" s="91"/>
    </row>
    <row r="186" spans="11:19" ht="20.100000000000001" customHeight="1" x14ac:dyDescent="0.25">
      <c r="S186" s="91"/>
    </row>
    <row r="187" spans="11:19" ht="20.100000000000001" customHeight="1" x14ac:dyDescent="0.25">
      <c r="S187" s="91"/>
    </row>
    <row r="188" spans="11:19" ht="20.100000000000001" customHeight="1" x14ac:dyDescent="0.25">
      <c r="S188" s="91"/>
    </row>
    <row r="189" spans="11:19" ht="20.100000000000001" customHeight="1" x14ac:dyDescent="0.25">
      <c r="S189" s="91"/>
    </row>
    <row r="190" spans="11:19" ht="20.100000000000001" customHeight="1" x14ac:dyDescent="0.25">
      <c r="S190" s="91"/>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B49C470A-DFCD-4456-BC15-24FCB1F8B051}">
      <formula1>"kg, m3"</formula1>
    </dataValidation>
    <dataValidation type="list" allowBlank="1" showInputMessage="1" showErrorMessage="1" sqref="N122:N123 H122:H123 J125:J126 L135:L136" xr:uid="{EBD56A86-91A0-4C59-B58E-21E53E101665}">
      <formula1>INDIRECT("Table_Scope3_AquacultureFeedBait[Feed / Bait ingredient]")</formula1>
    </dataValidation>
    <dataValidation type="list" allowBlank="1" showInputMessage="1" showErrorMessage="1" sqref="F63:F72 I63:I72 L63:L72 O63:O72" xr:uid="{FAC80061-F56B-4A7B-8E38-8827F8A10821}">
      <formula1>INDIRECT(_xlfn.UNIQUE("Table_SourceData_Scope3_Feed[Product]"))</formula1>
    </dataValidation>
    <dataValidation type="list" allowBlank="1" showInputMessage="1" showErrorMessage="1" sqref="M63:M72 P63:P72 J63:J72 G63:G72" xr:uid="{14AF6693-702F-466F-9D80-11400DF81561}">
      <formula1>INDIRECT("Table_ProductRegions_" &amp; SUBSTITUTE(SUBSTITUTE(SUBSTITUTE(SUBSTITUTE(F63, " ", ""), ",", ""), "(", ""), ")", "") &amp; "[Region]")</formula1>
    </dataValidation>
    <dataValidation type="list" allowBlank="1" showInputMessage="1" showErrorMessage="1" sqref="G78:G87" xr:uid="{F8A98ABC-AB14-4244-80E1-06C34FF55CD1}">
      <formula1>"Hour, Hectare"</formula1>
    </dataValidation>
    <dataValidation type="list" allowBlank="1" showInputMessage="1" showErrorMessage="1" sqref="E37:E46" xr:uid="{70926174-635F-4CA0-A3D1-04F37D798882}">
      <formula1>INDIRECT("Table_SourceData_Scope3_ChemicalsPharmacy[Product]")</formula1>
    </dataValidation>
    <dataValidation type="list" allowBlank="1" showInputMessage="1" showErrorMessage="1" sqref="F11:F20" xr:uid="{2ABDA246-FCD1-4A10-93F9-6392C58EB7A0}">
      <formula1>"kg / hectare, litre / hectare"</formula1>
    </dataValidation>
    <dataValidation type="list" allowBlank="1" showInputMessage="1" showErrorMessage="1" sqref="I11:I20" xr:uid="{CF9F429C-0DD0-4716-B9FA-C8727A79B50A}">
      <formula1>"grams/litre or grams/kg, fraction of product"</formula1>
    </dataValidation>
    <dataValidation type="list" allowBlank="1" showInputMessage="1" showErrorMessage="1" sqref="J11:J20 M11:M20 P11:P20" xr:uid="{541ED5CD-1338-4362-9EBF-B29E8F19FE22}">
      <formula1>INDIRECT("Table_SourceData_Scope3_Pesticides[Product]")</formula1>
    </dataValidation>
    <dataValidation type="list" allowBlank="1" showInputMessage="1" showErrorMessage="1" sqref="F93:F102" xr:uid="{FD1FEAA2-7F8A-4DBB-9AF8-74CA86EB3FEE}">
      <formula1>INDIRECT("Table_SourceData_Scope3_Packaging[Product]")</formula1>
    </dataValidation>
    <dataValidation type="list" allowBlank="1" showInputMessage="1" showErrorMessage="1" sqref="E24:E33" xr:uid="{5AAC2B14-D4A3-4D87-AD97-2AD901A02C5F}">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F0C79-161E-488F-84C6-EAD0C3F4CD6E}">
  <sheetPr>
    <tabColor theme="5" tint="-0.249977111117893"/>
  </sheetPr>
  <dimension ref="A1:J160"/>
  <sheetViews>
    <sheetView showGridLines="0" workbookViewId="0" zoomScale="100" zoomScaleNormal="100">
      <selection activeCell="A55" sqref="A55"/>
    </sheetView>
  </sheetViews>
  <sheetFormatPr defaultRowHeight="15.75" x14ac:dyDescent="0.25"/>
  <cols>
    <col min="1" max="1" width="35" style="248" customWidth="1"/>
    <col min="2" max="2" width="5.28515625" style="248" customWidth="1"/>
    <col min="3" max="3" width="5.28515625" style="1" customWidth="1"/>
    <col min="4" max="4" width="46.5703125" style="1" customWidth="1"/>
    <col min="5" max="9" width="35" style="1" customWidth="1"/>
    <col min="10" max="10" width="5.28515625" style="1" customWidth="1"/>
    <col min="11" max="16384" width="9.140625" style="248"/>
  </cols>
  <sheetData>
    <row r="1" spans="1:10" s="16" customFormat="1" ht="30" customHeight="1" x14ac:dyDescent="0.35">
      <c r="C1" s="16" t="s">
        <v>1028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1029</v>
      </c>
    </row>
    <row r="7" spans="1:10" ht="20.100000000000001" customHeight="1" x14ac:dyDescent="0.25">
      <c r="A7"/>
    </row>
    <row r="8" spans="1:10" ht="20.100000000000001" customHeight="1" x14ac:dyDescent="0.25">
      <c r="A8" s="7" t="s">
        <v>0</v>
      </c>
      <c r="D8" s="30" t="s">
        <v>1030</v>
      </c>
      <c r="E8" s="30" t="s">
        <v>1031</v>
      </c>
      <c r="F8" s="30" t="s">
        <v>1032</v>
      </c>
      <c r="G8" s="30" t="s">
        <v>1033</v>
      </c>
      <c r="H8" s="30" t="s">
        <v>1034</v>
      </c>
    </row>
    <row r="9" spans="1:10" ht="20.100000000000001" customHeight="1" x14ac:dyDescent="0.25">
      <c r="A9" s="5" t="str">
        <f>HYPERLINK("#'Input - Enterprise'!A1", "Enterprise")</f>
        <v>Enterprise</v>
      </c>
      <c r="D9" s="30" t="s">
        <v>1035</v>
      </c>
      <c r="E9" s="23" t="s">
        <v>1036</v>
      </c>
      <c r="F9" s="30">
        <v>986</v>
      </c>
      <c r="G9" s="30">
        <v>10</v>
      </c>
      <c r="H9" s="30">
        <v>52</v>
      </c>
    </row>
    <row r="10" spans="1:10" ht="20.100000000000001" customHeight="1" x14ac:dyDescent="0.25">
      <c r="A10" s="5" t="str">
        <f>HYPERLINK("#'Input - Site'!A1", "Site")</f>
        <v>Site</v>
      </c>
      <c r="D10" s="30" t="s">
        <v>1037</v>
      </c>
      <c r="E10" s="23" t="s">
        <v>1038</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Pasture'!A1", "Pasture")</f>
        <v>Pasture</v>
      </c>
      <c r="D13" s="30"/>
      <c r="E13" s="23"/>
      <c r="F13" s="30"/>
      <c r="G13" s="30"/>
      <c r="H13" s="30"/>
    </row>
    <row r="14" spans="1:10" ht="20.100000000000001" customHeight="1" x14ac:dyDescent="0.25">
      <c r="A14" s="5" t="str">
        <f>HYPERLINK("#'Input - Fertiliser'!A1", "Fertiliser")</f>
        <v>Fertiliser</v>
      </c>
      <c r="D14" s="30"/>
      <c r="E14" s="23"/>
      <c r="F14" s="30"/>
      <c r="G14" s="30"/>
      <c r="H14" s="30"/>
    </row>
    <row r="15" spans="1:10" ht="20.100000000000001" customHeight="1" x14ac:dyDescent="0.25">
      <c r="A15" s="5" t="str">
        <f>HYPERLINK("#'Input - Fuel'!A1", "Fuel")</f>
        <v>Fuel</v>
      </c>
      <c r="D15" s="30"/>
      <c r="E15" s="23"/>
      <c r="F15" s="30"/>
      <c r="G15" s="30"/>
      <c r="H15" s="30"/>
    </row>
    <row r="16" spans="1:10" ht="20.100000000000001" customHeight="1" x14ac:dyDescent="0.25">
      <c r="A16" s="5" t="str">
        <f>HYPERLINK("#'Input - Electricity'!A1", "Electricity")</f>
        <v>Electricity</v>
      </c>
      <c r="D16" s="30"/>
      <c r="E16" s="23"/>
      <c r="F16" s="30"/>
      <c r="G16" s="30"/>
      <c r="H16" s="30"/>
    </row>
    <row r="17" spans="1:8" ht="20.100000000000001" customHeight="1" x14ac:dyDescent="0.25">
      <c r="A17" s="5" t="str">
        <f>HYPERLINK("#'Input - Farm Inputs'!A1", "Farm Inputs")</f>
        <v>Farm Inputs</v>
      </c>
      <c r="D17" s="30"/>
      <c r="E17" s="23"/>
      <c r="F17" s="30"/>
      <c r="G17" s="30"/>
      <c r="H17" s="30"/>
    </row>
    <row r="18" spans="1:8" ht="20.100000000000001" customHeight="1" x14ac:dyDescent="0.25">
      <c r="A18" s="92" t="str">
        <f>HYPERLINK("#'Input - Freight'!A1", "Freight")</f>
        <v>Freight</v>
      </c>
      <c r="D18" s="30"/>
      <c r="E18" s="23"/>
      <c r="F18" s="30"/>
      <c r="G18" s="30"/>
      <c r="H18" s="30"/>
    </row>
    <row r="19" spans="1:8" ht="20.100000000000001" customHeight="1" x14ac:dyDescent="0.25">
      <c r="A19" s="5" t="str">
        <f>HYPERLINK("#'Input - Manure sent off-site'!A1", "Manure sent off-site")</f>
        <v>Manure sent off-site</v>
      </c>
    </row>
    <row r="20" spans="1:8" ht="20.100000000000001" customHeight="1" x14ac:dyDescent="0.25">
      <c r="A20" s="5" t="str">
        <f>HYPERLINK("#'Input - Solid waste'!A1", "Solid waste")</f>
        <v>Solid waste</v>
      </c>
    </row>
    <row r="21" spans="1:8" ht="20.100000000000001" customHeight="1" x14ac:dyDescent="0.25">
      <c r="A21"/>
    </row>
    <row r="22" spans="1:8" ht="20.100000000000001" customHeight="1" x14ac:dyDescent="0.25">
      <c r="A22"/>
      <c r="D22" s="2" t="s">
        <v>1039</v>
      </c>
    </row>
    <row r="23" spans="1:8" ht="20.100000000000001" customHeight="1" x14ac:dyDescent="0.25">
      <c r="A23" s="6" t="s">
        <v>2</v>
      </c>
    </row>
    <row r="24" spans="1:8" ht="20.100000000000001" customHeight="1" x14ac:dyDescent="0.25">
      <c r="A24" s="5" t="str">
        <f>HYPERLINK("#'3.2.1.1-2 Enteric Methane'!A1", "3.2.1.1-2 Enteric methane")</f>
        <v>3.2.1.1-2 Enteric methane</v>
      </c>
      <c r="D24" s="30" t="s">
        <v>1030</v>
      </c>
      <c r="E24" s="30" t="s">
        <v>1031</v>
      </c>
      <c r="F24" s="30" t="s">
        <v>1032</v>
      </c>
      <c r="G24" s="30" t="s">
        <v>1033</v>
      </c>
      <c r="H24" s="30" t="s">
        <v>1034</v>
      </c>
    </row>
    <row r="25" spans="1:8" ht="20.100000000000001" customHeight="1" x14ac:dyDescent="0.25">
      <c r="A25" s="5" t="str">
        <f>HYPERLINK("#'4.2.1.1-2 Methane'!A1", "4.2.1.1-2 Manure methane")</f>
        <v>4.2.1.1-2 Manure methane</v>
      </c>
      <c r="D25" s="30" t="s">
        <v>1040</v>
      </c>
      <c r="E25" s="23" t="s">
        <v>1036</v>
      </c>
      <c r="F25" s="30">
        <v>65</v>
      </c>
      <c r="G25" s="30">
        <v>20</v>
      </c>
      <c r="H25" s="30">
        <v>52</v>
      </c>
    </row>
    <row r="26" spans="1:8" ht="20.100000000000001" customHeight="1" x14ac:dyDescent="0.25">
      <c r="A26" s="5" t="str">
        <f>HYPERLINK("#'4.2.1.3-4 Soil direct N20'!A1", "4.2.1.3-4 Soil direct N2O")</f>
        <v>4.2.1.3-4 Soil direct N2O</v>
      </c>
      <c r="D26" s="30"/>
      <c r="E26" s="23"/>
      <c r="F26" s="30"/>
      <c r="G26" s="30"/>
      <c r="H26" s="30"/>
    </row>
    <row r="27" spans="1:8" ht="20.100000000000001" customHeight="1" x14ac:dyDescent="0.25">
      <c r="A27" s="5" t="str">
        <f>HYPERLINK("#'4.2.1.5-6 Soil Atmos Dep'!A1", "4.2.1.5-6 Soil atm. deposition")</f>
        <v>4.2.1.5-6 Soil atm. deposition</v>
      </c>
      <c r="D27" s="30"/>
      <c r="E27" s="23"/>
      <c r="F27" s="30"/>
      <c r="G27" s="30"/>
      <c r="H27" s="30"/>
    </row>
    <row r="28" spans="1:8" ht="20.100000000000001" customHeight="1" x14ac:dyDescent="0.25">
      <c r="A28" s="5" t="str">
        <f>HYPERLINK("#'4.2.1.7-8 Soil leach runoff'!A1", "4.2.1.7-8 Soil leach &amp; runoff")</f>
        <v>4.2.1.7-8 Soil leach &amp; runoff</v>
      </c>
      <c r="D28" s="30"/>
      <c r="E28" s="23"/>
      <c r="F28" s="30"/>
      <c r="G28" s="30"/>
      <c r="H28" s="30"/>
    </row>
    <row r="29" spans="1:8" ht="20.100000000000001" customHeight="1" x14ac:dyDescent="0.25">
      <c r="A29" s="5" t="str">
        <f>HYPERLINK("#'5.1.1.1-2 Inorganic fert N2O'!A1", "5.1.1.1-2 Inorganic fert N2O")</f>
        <v>5.1.1.1-2 Inorganic fert N2O</v>
      </c>
      <c r="D29" s="30"/>
      <c r="E29" s="23"/>
      <c r="F29" s="30"/>
      <c r="G29" s="30"/>
      <c r="H29" s="30"/>
    </row>
    <row r="30" spans="1:8" ht="20.100000000000001" customHeight="1" x14ac:dyDescent="0.25">
      <c r="A30" s="5" t="str">
        <f>HYPERLINK("#'5.1.1.3-4 Inorganic fert CO2'!A1", "5.1.1.3-4 Inorganic fert CO2")</f>
        <v>5.1.1.3-4 Inorganic fert CO2</v>
      </c>
      <c r="D30" s="30"/>
      <c r="E30" s="23"/>
      <c r="F30" s="30"/>
      <c r="G30" s="30"/>
      <c r="H30" s="30"/>
    </row>
    <row r="31" spans="1:8" ht="20.100000000000001" customHeight="1" x14ac:dyDescent="0.25">
      <c r="A31" s="5" t="str">
        <f>HYPERLINK("#'5.2.1.1-2 Organic Fert N2O'!A1", "5.2.1.1-2 Organic fert N2O")</f>
        <v>5.2.1.1-2 Organic fert N2O</v>
      </c>
      <c r="D31" s="30"/>
      <c r="E31" s="23"/>
      <c r="F31" s="30"/>
      <c r="G31" s="30"/>
      <c r="H31" s="30"/>
    </row>
    <row r="32" spans="1:8" ht="20.100000000000001" customHeight="1" x14ac:dyDescent="0.25">
      <c r="A32" s="5" t="str">
        <f>HYPERLINK("#'5.3.1.1-2 Lime CO2'!A1", "5.3.1.1-2 Lime CO2")</f>
        <v>5.3.1.1-2 Lime CO2</v>
      </c>
      <c r="D32" s="30"/>
      <c r="E32" s="23"/>
      <c r="F32" s="30"/>
      <c r="G32" s="30"/>
      <c r="H32" s="30"/>
    </row>
    <row r="33" spans="1:8" ht="20.100000000000001" customHeight="1" x14ac:dyDescent="0.25">
      <c r="A33" s="5" t="str">
        <f>HYPERLINK("#'5.4.1.1-4 Atmos deposition'!A1", "5.4.1.1-4 Atmos. deposition")</f>
        <v>5.4.1.1-4 Atmos. deposition</v>
      </c>
      <c r="D33" s="30"/>
      <c r="E33" s="23"/>
      <c r="F33" s="30"/>
      <c r="G33" s="30"/>
      <c r="H33" s="30"/>
    </row>
    <row r="34" spans="1:8" ht="20.100000000000001" customHeight="1" x14ac:dyDescent="0.25">
      <c r="A34" s="5" t="str">
        <f>HYPERLINK("#'5.5.1.1-2 Leaching and runoff'!A1", "5.5.1.1-2 Leaching &amp; runoff")</f>
        <v>5.5.1.1-2 Leaching &amp; runoff</v>
      </c>
      <c r="D34" s="30"/>
      <c r="E34" s="23"/>
      <c r="F34" s="30"/>
      <c r="G34" s="30"/>
      <c r="H34" s="30"/>
    </row>
    <row r="35" spans="1:8" ht="20.100000000000001" customHeight="1" x14ac:dyDescent="0.25">
      <c r="A35" s="5" t="str">
        <f>HYPERLINK("#'6.2.1.1-2 Pasture residue N2O'!A1", "6.2.1.1-2 Pasture residue N2O")</f>
        <v>6.2.1.1-2 Pasture residue N2O</v>
      </c>
    </row>
    <row r="36" spans="1:8" ht="20.100000000000001" customHeight="1" x14ac:dyDescent="0.25">
      <c r="A36" s="5" t="str">
        <f>HYPERLINK("#'6.3.1.1-2 Leach runoff pasture'!A1", "6.3.1.1-2 Leach &amp; runoff (pasture)")</f>
        <v>6.3.1.1-2 Leach &amp; runoff (pasture)</v>
      </c>
    </row>
    <row r="37" spans="1:8" ht="20.100000000000001" customHeight="1" x14ac:dyDescent="0.25">
      <c r="A37" s="5" t="str">
        <f>HYPERLINK("#'8.1.1.1-2 Transport fuel'!A1", "8.1.1.1-2 Transport fuel")</f>
        <v>8.1.1.1-2 Transport fuel</v>
      </c>
    </row>
    <row r="38" spans="1:8" ht="20.100000000000001" customHeight="1" x14ac:dyDescent="0.25">
      <c r="A38" s="5" t="str">
        <f>HYPERLINK("#'8.2.1.1-2 Stationary fuel'!A1", "8.2.1.1-2 Stationary fuel")</f>
        <v>8.2.1.1-2 Stationary fuel</v>
      </c>
    </row>
    <row r="39" spans="1:8" ht="20.100000000000001" customHeight="1" x14ac:dyDescent="0.25">
      <c r="A39" s="5" t="str">
        <f>HYPERLINK("#'14.1.1-2 Purchased electricity'!A1", "14.1.1-2 Purchased electricity")</f>
        <v>14.1.1-2 Purchased electricity</v>
      </c>
    </row>
    <row r="40" spans="1:8" ht="20.100000000000001" customHeight="1" x14ac:dyDescent="0.25">
      <c r="A40" s="5" t="str">
        <f>HYPERLINK("#'15 Scope 3'!A1", "15 Scope 3")</f>
        <v>15 Scope 3</v>
      </c>
    </row>
    <row r="41" spans="1:8" ht="20.100000000000001" customHeight="1" x14ac:dyDescent="0.25">
      <c r="A41" s="5" t="str">
        <f>HYPERLINK("#'Calcs - Manure sent off-site'!A1", "Calcs - Manure sent off-site")</f>
        <v>Calcs - Manure sent off-site</v>
      </c>
    </row>
    <row r="42" spans="1:8" ht="20.100000000000001" customHeight="1" x14ac:dyDescent="0.25">
      <c r="A42" s="5" t="str">
        <f>HYPERLINK("#'10.1.1-2 Solid waste treatment'!A1", "10.1.1-2 Solid waste treatment")</f>
        <v>10.1.1-2 Solid waste treatment</v>
      </c>
    </row>
    <row r="43" spans="1:8" ht="20.100000000000001" customHeight="1" x14ac:dyDescent="0.25">
      <c r="A43"/>
    </row>
    <row r="44" spans="1:8" ht="20.100000000000001" customHeight="1" x14ac:dyDescent="0.25">
      <c r="A44"/>
    </row>
    <row r="45" spans="1:8" ht="20.100000000000001" customHeight="1" x14ac:dyDescent="0.25">
      <c r="A45" s="94" t="s">
        <v>1</v>
      </c>
    </row>
    <row r="46" spans="1:8" ht="20.100000000000001" customHeight="1" x14ac:dyDescent="0.25">
      <c r="A46" s="5" t="str">
        <f>HYPERLINK("#'Constants - Pasture Beef'!A1", "Constants - Pasture Beef")</f>
        <v>Constants - Pasture Beef</v>
      </c>
    </row>
    <row r="47" spans="1:8" ht="20.100000000000001" customHeight="1" x14ac:dyDescent="0.25">
      <c r="A47" s="5" t="str">
        <f>HYPERLINK("#'Constants - Ag Residue'!A1", "Constants - Ag residue")</f>
        <v>Constants - Ag residue</v>
      </c>
    </row>
    <row r="48" spans="1:8"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Common'!A1", "Constants - Common")</f>
        <v>Constants - Common</v>
      </c>
    </row>
    <row r="54" spans="1:1" x14ac:dyDescent="0.25">
      <c r="A54" s="5" t="str">
        <f>HYPERLINK("#'Acknowledgements'!A1", "Acknowledgements")</f>
        <v>Acknowledgements</v>
      </c>
    </row>
    <row r="55" spans="1:1" x14ac:dyDescent="0.25">
      <c r="A55" s="5" t="str">
        <f>HYPERLINK("#'Constants - Solid Waste'!A1", "Constants - Solid Waste")</f>
        <v>Constants - Solid Waste</v>
      </c>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9FDE8FD0-ED71-436A-91D0-F93D8A95EE1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42D5DA-4E33-44D9-BB2F-EACE65964969}">
  <sheetPr>
    <tabColor theme="5" tint="-0.249977111117893"/>
  </sheetPr>
  <dimension ref="A1:K160"/>
  <sheetViews>
    <sheetView showGridLines="0" workbookViewId="0" zoomScale="100" zoomScaleNormal="100">
      <selection activeCell="A55" sqref="A55"/>
    </sheetView>
  </sheetViews>
  <sheetFormatPr defaultRowHeight="15.75" x14ac:dyDescent="0.25"/>
  <cols>
    <col min="1" max="1" width="35" style="248" customWidth="1"/>
    <col min="2" max="2" width="5.28515625" style="248" customWidth="1"/>
    <col min="3" max="3" width="5.28515625" style="1" customWidth="1"/>
    <col min="4" max="10" width="35" style="1" customWidth="1"/>
    <col min="11" max="11" width="5.28515625" style="1" customWidth="1"/>
    <col min="12" max="16384" width="9.140625" style="248"/>
  </cols>
  <sheetData>
    <row r="1" spans="1:11" ht="25.5" x14ac:dyDescent="0.35">
      <c r="A1" s="16" t="e" vm="1">
        <v>#VALUE!</v>
      </c>
      <c r="C1" s="16" t="s">
        <v>1041</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1042</v>
      </c>
    </row>
    <row r="6" spans="1:11" x14ac:dyDescent="0.25">
      <c r="A6"/>
    </row>
    <row r="7" spans="1:11" x14ac:dyDescent="0.25">
      <c r="A7"/>
      <c r="D7" s="1" t="s">
        <v>1043</v>
      </c>
    </row>
    <row r="8" spans="1:11" ht="18.75" x14ac:dyDescent="0.25">
      <c r="A8" s="7" t="s">
        <v>0</v>
      </c>
      <c r="D8" s="1" t="s">
        <v>1044</v>
      </c>
    </row>
    <row r="9" spans="1:11" x14ac:dyDescent="0.25">
      <c r="A9" s="5" t="str">
        <f>HYPERLINK("#'Input - Enterprise'!A1", "Enterprise")</f>
        <v>Enterprise</v>
      </c>
    </row>
    <row r="10" spans="1:11" x14ac:dyDescent="0.25">
      <c r="A10" s="5" t="str">
        <f>HYPERLINK("#'Input - Site'!A1", "Site")</f>
        <v>Site</v>
      </c>
      <c r="D10" s="1" t="s">
        <v>1045</v>
      </c>
      <c r="F10" s="86">
        <v>1000</v>
      </c>
      <c r="G10" s="26" t="s">
        <v>1046</v>
      </c>
    </row>
    <row r="11" spans="1:11" x14ac:dyDescent="0.25">
      <c r="A11" s="5" t="str">
        <f>HYPERLINK("#'Input - Pasture Beef'!A1", "Pasture Beef")</f>
        <v>Pasture Beef</v>
      </c>
      <c r="D11" s="1" t="s">
        <v>1047</v>
      </c>
      <c r="F11" s="86">
        <v>2000</v>
      </c>
      <c r="G11" s="26" t="s">
        <v>1046</v>
      </c>
    </row>
    <row r="12" spans="1:11" x14ac:dyDescent="0.25">
      <c r="A12" s="5" t="str">
        <f>HYPERLINK("#'Input - Pasture Beef (Enteric)'!A1", "Pasture Beef (Enteric)")</f>
        <v>Pasture Beef (Enteric)</v>
      </c>
    </row>
    <row r="13" spans="1:11" x14ac:dyDescent="0.25">
      <c r="A13" s="5" t="str">
        <f>HYPERLINK("#'Input - Pasture'!A1", "Pasture")</f>
        <v>Pasture</v>
      </c>
      <c r="D13" s="1" t="s">
        <v>1048</v>
      </c>
      <c r="F13" s="23" t="s">
        <v>466</v>
      </c>
      <c r="G13" s="26" t="s">
        <v>111</v>
      </c>
    </row>
    <row r="14" spans="1:11" x14ac:dyDescent="0.25">
      <c r="A14" s="5" t="str">
        <f>HYPERLINK("#'Input - Fertiliser'!A1", "Fertiliser")</f>
        <v>Fertiliser</v>
      </c>
      <c r="D14" s="1" t="s">
        <v>1049</v>
      </c>
      <c r="F14" s="23" t="s">
        <v>238</v>
      </c>
      <c r="G14" s="26" t="s">
        <v>111</v>
      </c>
    </row>
    <row r="15" spans="1:11" x14ac:dyDescent="0.25">
      <c r="A15" s="5" t="str">
        <f>HYPERLINK("#'Input - Fuel'!A1", "Fuel")</f>
        <v>Fuel</v>
      </c>
    </row>
    <row r="16" spans="1:11" x14ac:dyDescent="0.25">
      <c r="A16" s="5" t="str">
        <f>HYPERLINK("#'Input - Electricity'!A1", "Electricity")</f>
        <v>Electricity</v>
      </c>
    </row>
    <row r="17" spans="1:1" x14ac:dyDescent="0.25">
      <c r="A17" s="5" t="str">
        <f>HYPERLINK("#'Input - Farm Inputs'!A1", "Farm Inputs")</f>
        <v>Farm Inputs</v>
      </c>
    </row>
    <row r="18" spans="1:1" x14ac:dyDescent="0.25">
      <c r="A18" s="5" t="str">
        <f>HYPERLINK("#'Input - Freight'!A1", "Freight")</f>
        <v>Freight</v>
      </c>
    </row>
    <row r="19" spans="1:1" x14ac:dyDescent="0.25">
      <c r="A19" s="92" t="str">
        <f>HYPERLINK("#'Input - Manure sent off-site'!A1", "Manure sent off-site")</f>
        <v>Manure sent off-site</v>
      </c>
    </row>
    <row r="20" spans="1:1" x14ac:dyDescent="0.25">
      <c r="A20" s="5" t="str">
        <f>HYPERLINK("#'Input - Solid waste'!A1", "Solid waste")</f>
        <v>Solid waste</v>
      </c>
    </row>
    <row r="21" spans="1:1" x14ac:dyDescent="0.25">
      <c r="A21"/>
    </row>
    <row r="22" spans="1:1" x14ac:dyDescent="0.25">
      <c r="A22"/>
    </row>
    <row r="23" spans="1:1" x14ac:dyDescent="0.25">
      <c r="A23" s="6" t="s">
        <v>2</v>
      </c>
    </row>
    <row r="24" spans="1:1" x14ac:dyDescent="0.25">
      <c r="A24" s="5" t="str">
        <f>HYPERLINK("#'3.2.1.1-2 Enteric Methane'!A1", "3.2.1.1-2 Enteric methane")</f>
        <v>3.2.1.1-2 Enteric methane</v>
      </c>
    </row>
    <row r="25" spans="1:1" x14ac:dyDescent="0.25">
      <c r="A25" s="5" t="str">
        <f>HYPERLINK("#'4.2.1.1-2 Methane'!A1", "4.2.1.1-2 Manure methane")</f>
        <v>4.2.1.1-2 Manure methane</v>
      </c>
    </row>
    <row r="26" spans="1:1" x14ac:dyDescent="0.25">
      <c r="A26" s="5" t="str">
        <f>HYPERLINK("#'4.2.1.3-4 Soil direct N20'!A1", "4.2.1.3-4 Soil direct N2O")</f>
        <v>4.2.1.3-4 Soil direct N2O</v>
      </c>
    </row>
    <row r="27" spans="1:1" x14ac:dyDescent="0.25">
      <c r="A27" s="5" t="str">
        <f>HYPERLINK("#'4.2.1.5-6 Soil Atmos Dep'!A1", "4.2.1.5-6 Soil atm. deposition")</f>
        <v>4.2.1.5-6 Soil atm. deposition</v>
      </c>
    </row>
    <row r="28" spans="1:1" x14ac:dyDescent="0.25">
      <c r="A28" s="5" t="str">
        <f>HYPERLINK("#'4.2.1.7-8 Soil leach runoff'!A1", "4.2.1.7-8 Soil leach &amp; runoff")</f>
        <v>4.2.1.7-8 Soil leach &amp; runoff</v>
      </c>
    </row>
    <row r="29" spans="1:1" x14ac:dyDescent="0.25">
      <c r="A29" s="5" t="str">
        <f>HYPERLINK("#'5.1.1.1-2 Inorganic fert N2O'!A1", "5.1.1.1-2 Inorganic fert N2O")</f>
        <v>5.1.1.1-2 Inorganic fert N2O</v>
      </c>
    </row>
    <row r="30" spans="1:1" x14ac:dyDescent="0.25">
      <c r="A30" s="5" t="str">
        <f>HYPERLINK("#'5.1.1.3-4 Inorganic fert CO2'!A1", "5.1.1.3-4 Inorganic fert CO2")</f>
        <v>5.1.1.3-4 Inorganic fert CO2</v>
      </c>
    </row>
    <row r="31" spans="1:1" x14ac:dyDescent="0.25">
      <c r="A31" s="5" t="str">
        <f>HYPERLINK("#'5.2.1.1-2 Organic Fert N2O'!A1", "5.2.1.1-2 Organic fert N2O")</f>
        <v>5.2.1.1-2 Organic fert N2O</v>
      </c>
    </row>
    <row r="32" spans="1:1" x14ac:dyDescent="0.25">
      <c r="A32" s="5" t="str">
        <f>HYPERLINK("#'5.3.1.1-2 Lime CO2'!A1", "5.3.1.1-2 Lime CO2")</f>
        <v>5.3.1.1-2 Lime CO2</v>
      </c>
    </row>
    <row r="33" spans="1:1" x14ac:dyDescent="0.25">
      <c r="A33" s="5" t="str">
        <f>HYPERLINK("#'5.4.1.1-4 Atmos deposition'!A1", "5.4.1.1-4 Atmos. deposition")</f>
        <v>5.4.1.1-4 Atmos. deposition</v>
      </c>
    </row>
    <row r="34" spans="1:1" x14ac:dyDescent="0.25">
      <c r="A34" s="5" t="str">
        <f>HYPERLINK("#'5.5.1.1-2 Leaching and runoff'!A1", "5.5.1.1-2 Leaching &amp; runoff")</f>
        <v>5.5.1.1-2 Leaching &amp; runoff</v>
      </c>
    </row>
    <row r="35" spans="1:1" x14ac:dyDescent="0.25">
      <c r="A35" s="5" t="str">
        <f>HYPERLINK("#'6.2.1.1-2 Pasture residue N2O'!A1", "6.2.1.1-2 Pasture residue N2O")</f>
        <v>6.2.1.1-2 Pasture residue N2O</v>
      </c>
    </row>
    <row r="36" spans="1:1" x14ac:dyDescent="0.25">
      <c r="A36" s="5" t="str">
        <f>HYPERLINK("#'6.3.1.1-2 Leach runoff pasture'!A1", "6.3.1.1-2 Leach &amp; runoff (pasture)")</f>
        <v>6.3.1.1-2 Leach &amp; runoff (pasture)</v>
      </c>
    </row>
    <row r="37" spans="1:1" x14ac:dyDescent="0.25">
      <c r="A37" s="5" t="str">
        <f>HYPERLINK("#'8.1.1.1-2 Transport fuel'!A1", "8.1.1.1-2 Transport fuel")</f>
        <v>8.1.1.1-2 Transport fuel</v>
      </c>
    </row>
    <row r="38" spans="1:1" x14ac:dyDescent="0.25">
      <c r="A38" s="5" t="str">
        <f>HYPERLINK("#'8.2.1.1-2 Stationary fuel'!A1", "8.2.1.1-2 Stationary fuel")</f>
        <v>8.2.1.1-2 Stationary fuel</v>
      </c>
    </row>
    <row r="39" spans="1:1" x14ac:dyDescent="0.25">
      <c r="A39" s="5" t="str">
        <f>HYPERLINK("#'14.1.1-2 Purchased electricity'!A1", "14.1.1-2 Purchased electricity")</f>
        <v>14.1.1-2 Purchased electricity</v>
      </c>
    </row>
    <row r="40" spans="1:1" x14ac:dyDescent="0.25">
      <c r="A40" s="5" t="str">
        <f>HYPERLINK("#'15 Scope 3'!A1", "15 Scope 3")</f>
        <v>15 Scope 3</v>
      </c>
    </row>
    <row r="41" spans="1:1" x14ac:dyDescent="0.25">
      <c r="A41" s="5" t="str">
        <f>HYPERLINK("#'Calcs - Manure sent off-site'!A1", "Calcs - Manure sent off-site")</f>
        <v>Calcs - Manure sent off-site</v>
      </c>
    </row>
    <row r="42" spans="1:1" x14ac:dyDescent="0.25">
      <c r="A42" s="5" t="str">
        <f>HYPERLINK("#'10.1.1-2 Solid waste treatment'!A1", "10.1.1-2 Solid waste treatment")</f>
        <v>10.1.1-2 Solid waste treatment</v>
      </c>
    </row>
    <row r="43" spans="1:1" x14ac:dyDescent="0.25">
      <c r="A43"/>
    </row>
    <row r="44" spans="1:1" x14ac:dyDescent="0.25">
      <c r="A44"/>
    </row>
    <row r="45" spans="1:1" x14ac:dyDescent="0.25">
      <c r="A45" s="94" t="s">
        <v>1</v>
      </c>
    </row>
    <row r="46" spans="1:1" x14ac:dyDescent="0.25">
      <c r="A46" s="5" t="str">
        <f>HYPERLINK("#'Constants - Pasture Beef'!A1", "Constants - Pasture Beef")</f>
        <v>Constants - Pasture Beef</v>
      </c>
    </row>
    <row r="47" spans="1:1" x14ac:dyDescent="0.25">
      <c r="A47" s="5" t="str">
        <f>HYPERLINK("#'Constants - Ag Residue'!A1", "Constants - Ag residue")</f>
        <v>Constants - Ag residue</v>
      </c>
    </row>
    <row r="48" spans="1:1"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Common'!A1", "Constants - Common")</f>
        <v>Constants - Common</v>
      </c>
    </row>
    <row r="54" spans="1:1" x14ac:dyDescent="0.25">
      <c r="A54" s="5" t="str">
        <f>HYPERLINK("#'Acknowledgements'!A1", "Acknowledgements")</f>
        <v>Acknowledgements</v>
      </c>
    </row>
    <row r="55" spans="1:1" x14ac:dyDescent="0.25">
      <c r="A55" s="5" t="str">
        <f>HYPERLINK("#'Constants - Solid Waste'!A1", "Constants - Solid Waste")</f>
        <v>Constants - Solid Waste</v>
      </c>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CF6FCFCA-611E-442D-996B-C382D21E6284}">
      <formula1>INDIRECT("Table_SourceData_Fertiliser_IrrigationMethods[Irrigation method]")</formula1>
    </dataValidation>
    <dataValidation type="list" allowBlank="1" showInputMessage="1" showErrorMessage="1" sqref="F13" xr:uid="{64081624-2EBF-49F4-A8CC-4502912EE847}">
      <formula1>INDIRECT("Table_SourceData_Fertiliser_CropProdSystems[Production system]")</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B04CB-3AD0-4BC3-A6FB-71F15454D4CB}">
  <dimension ref="A1:AI274"/>
  <sheetViews>
    <sheetView showGridLines="0" topLeftCell="J133"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7" t="s">
        <v>258</v>
      </c>
      <c r="E7" s="107" t="s">
        <v>259</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132</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Pasture'!A1", "Pasture")</f>
        <v>Pasture</v>
      </c>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HYPERLINK(Common_InputFunctions.Utility_SourceHyperlink($D$18), $D$18)</f>
        <v>M1_Table_LC_j_k-4-5</v>
      </c>
    </row>
    <row r="14" spans="1:35" ht="20.100000000000001" customHeight="1" x14ac:dyDescent="0.25">
      <c r="A14" s="5" t="str">
        <f>HYPERLINK("#'Input - Fertiliser'!A1", "Fertiliser")</f>
        <v>Fertiliser</v>
      </c>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Fuel'!A1", "Fuel")</f>
        <v>Fuel</v>
      </c>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Electricity'!A1", "Electricity")</f>
        <v>Electricity</v>
      </c>
      <c r="D16" s="109" t="str">
        <v>b</v>
      </c>
      <c r="E16" s="110" t="str">
        <v>breed of cattle</v>
      </c>
      <c r="F16" s="111"/>
      <c r="G16" s="112"/>
      <c r="H16" s="109" t="str">
        <v/>
      </c>
      <c r="I16" s="113" t="str">
        <v>Input</v>
      </c>
      <c r="J16" s="109" t="str">
        <f>X_Cell_PastureBeef_Breed</f>
        <v>Hereford or Shorthorn breeds</v>
      </c>
    </row>
    <row r="17" spans="1:34" ht="20.100000000000001" customHeight="1" x14ac:dyDescent="0.25">
      <c r="A17" s="5" t="str">
        <f>HYPERLINK("#'Input - Farm Inputs'!A1", "Farm Inputs")</f>
        <v>Farm Inputs</v>
      </c>
    </row>
    <row r="18" spans="1:34" ht="20.100000000000001" customHeight="1" x14ac:dyDescent="0.25">
      <c r="A18" s="5" t="str">
        <f>HYPERLINK("#'Input - Freight'!A1", "Freight")</f>
        <v>Freight</v>
      </c>
      <c r="D18" s="116" t="s">
        <v>261</v>
      </c>
    </row>
    <row r="19" spans="1:34" ht="20.100000000000001" customHeight="1" x14ac:dyDescent="0.25">
      <c r="A19" s="5" t="str">
        <f>HYPERLINK("#'Input - Manure sent off-site'!A1", "Manure sent off-site")</f>
        <v>Manure sent off-site</v>
      </c>
      <c r="D19" s="117" t="s">
        <v>262</v>
      </c>
      <c r="U19" s="116" t="s">
        <v>263</v>
      </c>
    </row>
    <row r="20" spans="1:34" ht="20.100000000000001" customHeight="1" x14ac:dyDescent="0.25">
      <c r="A20" s="5" t="str">
        <f>HYPERLINK("#'Input - Solid waste'!A1", "Solid waste")</f>
        <v>Solid waste</v>
      </c>
      <c r="D20" s="118" t="s">
        <v>78</v>
      </c>
      <c r="E20" s="119" t="s">
        <v>193</v>
      </c>
      <c r="F20" s="119" t="s">
        <v>194</v>
      </c>
      <c r="G20" s="119" t="s">
        <v>195</v>
      </c>
      <c r="U20" s="117" t="s">
        <v>264</v>
      </c>
    </row>
    <row r="21" spans="1:34" ht="20.100000000000001" customHeight="1" x14ac:dyDescent="0.25">
      <c r="D21" s="25">
        <f>'Input - Pasture Beef (Enteric)'!$E$104</f>
        <v>0</v>
      </c>
      <c r="E21" s="25">
        <f>'Input - Pasture Beef (Enteric)'!$E$107</f>
        <v>0</v>
      </c>
      <c r="F21" s="25">
        <f>'Input - Pasture Beef (Enteric)'!$F$107</f>
        <v>0</v>
      </c>
      <c r="G21" s="25">
        <f>'Input - Pasture Beef (Enteric)'!$G$107</f>
        <v>0</v>
      </c>
      <c r="H21" s="26" t="s">
        <v>265</v>
      </c>
      <c r="U21" s="118" t="s">
        <v>77</v>
      </c>
      <c r="V21" s="119" t="s">
        <v>193</v>
      </c>
      <c r="W21" s="119" t="s">
        <v>194</v>
      </c>
      <c r="X21" s="119" t="s">
        <v>195</v>
      </c>
    </row>
    <row r="22" spans="1:34" ht="20.100000000000001" customHeight="1" x14ac:dyDescent="0.25">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6" t="s">
        <v>2</v>
      </c>
      <c r="D23" s="116"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108" t="str">
        <f>HYPERLINK("#'3.2.1.1-2 Enteric Methane'!A1", "3.2.1.1-2 Enteric methane")</f>
        <v>3.2.1.1-2 Enteric methane</v>
      </c>
      <c r="D24" s="117" t="s">
        <v>267</v>
      </c>
      <c r="Y24" s="26"/>
    </row>
    <row r="25" spans="1:34" ht="20.100000000000001" customHeight="1" x14ac:dyDescent="0.25">
      <c r="A25" s="5" t="str">
        <f>HYPERLINK("#'4.2.1.1-2 Methane'!A1", "4.2.1.1-2 Manure methane")</f>
        <v>4.2.1.1-2 Manure methane</v>
      </c>
      <c r="D25" s="118" t="s">
        <v>78</v>
      </c>
      <c r="E25" s="118" t="s">
        <v>213</v>
      </c>
      <c r="F25" s="118" t="s">
        <v>268</v>
      </c>
      <c r="G25" s="118" t="s">
        <v>190</v>
      </c>
      <c r="H25" s="118" t="s">
        <v>191</v>
      </c>
      <c r="I25" s="118" t="s">
        <v>192</v>
      </c>
      <c r="J25" s="118" t="s">
        <v>193</v>
      </c>
      <c r="K25" s="118" t="s">
        <v>194</v>
      </c>
      <c r="L25" s="118" t="s">
        <v>195</v>
      </c>
      <c r="M25" s="118" t="s">
        <v>196</v>
      </c>
      <c r="N25" s="118" t="s">
        <v>197</v>
      </c>
      <c r="O25" s="118" t="s">
        <v>198</v>
      </c>
      <c r="P25" s="118" t="s">
        <v>199</v>
      </c>
      <c r="U25" s="116" t="s">
        <v>269</v>
      </c>
    </row>
    <row r="26" spans="1:34" ht="20.100000000000001" customHeight="1" x14ac:dyDescent="0.25">
      <c r="A26" s="5" t="str">
        <f>HYPERLINK("#'4.2.1.3-4 Soil direct N20'!A1", "4.2.1.3-4 Soil direct N2O")</f>
        <v>4.2.1.3-4 Soil direct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7" t="s">
        <v>270</v>
      </c>
    </row>
    <row r="27" spans="1:34" ht="20.100000000000001" customHeight="1" x14ac:dyDescent="0.25">
      <c r="A27" s="5" t="str">
        <f>HYPERLINK("#'4.2.1.5-6 Soil Atmos Dep'!A1", "4.2.1.5-6 Soil atm. deposition")</f>
        <v>4.2.1.5-6 Soil atm. deposition</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8" t="s">
        <v>77</v>
      </c>
      <c r="V27" s="118" t="s">
        <v>213</v>
      </c>
      <c r="W27" s="118" t="s">
        <v>268</v>
      </c>
      <c r="X27" s="118" t="s">
        <v>190</v>
      </c>
      <c r="Y27" s="118" t="s">
        <v>191</v>
      </c>
      <c r="Z27" s="118" t="s">
        <v>192</v>
      </c>
      <c r="AA27" s="118" t="s">
        <v>193</v>
      </c>
      <c r="AB27" s="118" t="s">
        <v>194</v>
      </c>
      <c r="AC27" s="118" t="s">
        <v>195</v>
      </c>
      <c r="AD27" s="118" t="s">
        <v>196</v>
      </c>
      <c r="AE27" s="118" t="s">
        <v>197</v>
      </c>
      <c r="AF27" s="118" t="s">
        <v>198</v>
      </c>
      <c r="AG27" s="118" t="s">
        <v>199</v>
      </c>
    </row>
    <row r="28" spans="1:34" ht="20.100000000000001" customHeight="1" x14ac:dyDescent="0.25">
      <c r="A28" s="5" t="str">
        <f>HYPERLINK("#'4.2.1.7-8 Soil leach runoff'!A1", "4.2.1.7-8 Soil leach &amp; runoff")</f>
        <v>4.2.1.7-8 Soil leach &amp; runoff</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HYPERLINK("#'5.1.1.1-2 Inorganic fert N2O'!A1", "5.1.1.1-2 Inorganic fert N2O")</f>
        <v>5.1.1.1-2 Inorganic fert N2O</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HYPERLINK("#'5.1.1.3-4 Inorganic fert CO2'!A1", "5.1.1.3-4 Inorganic fert CO2")</f>
        <v>5.1.1.3-4 Inorganic fert CO2</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HYPERLINK("#'5.2.1.1-2 Organic Fert N2O'!A1", "5.2.1.1-2 Organic fert N2O")</f>
        <v>5.2.1.1-2 Organic fert N2O</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HYPERLINK("#'5.3.1.1-2 Lime CO2'!A1", "5.3.1.1-2 Lime CO2")</f>
        <v>5.3.1.1-2 Lime CO2</v>
      </c>
      <c r="C32" s="120"/>
      <c r="D32" s="120"/>
      <c r="E32" s="120"/>
      <c r="F32" s="120"/>
      <c r="G32" s="120"/>
      <c r="H32" s="120"/>
      <c r="I32" s="120"/>
      <c r="J32" s="120"/>
      <c r="K32" s="120"/>
      <c r="L32" s="120"/>
      <c r="M32" s="120"/>
      <c r="N32" s="120"/>
      <c r="O32" s="120"/>
      <c r="P32" s="120"/>
      <c r="Q32" s="120"/>
      <c r="R32" s="120"/>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HYPERLINK("#'5.4.1.1-4 Atmos deposition'!A1", "5.4.1.1-4 Atmos. deposition")</f>
        <v>5.4.1.1-4 Atmos. deposition</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HYPERLINK("#'5.5.1.1-2 Leaching and runoff'!A1", "5.5.1.1-2 Leaching &amp; runoff")</f>
        <v>5.5.1.1-2 Leaching &amp; runoff</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HYPERLINK("#'6.2.1.1-2 Pasture residue N2O'!A1", "6.2.1.1-2 Pasture residue N2O")</f>
        <v>6.2.1.1-2 Pasture residue N2O</v>
      </c>
      <c r="D35" s="107" t="s">
        <v>258</v>
      </c>
      <c r="E35" s="107"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HYPERLINK("#'6.3.1.1-2 Leach runoff pasture'!A1", "6.3.1.1-2 Leach &amp; runoff (pasture)")</f>
        <v>6.3.1.1-2 Leach &amp; runoff (pasture)</v>
      </c>
      <c r="U36" s="25" t="str">
        <f>TEXT(EDATE(X_Cell_Site_StartDate,8), "mmmm")</f>
        <v>September</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HYPERLINK("#'8.1.1.1-2 Transport fuel'!A1", "8.1.1.1-2 Transport fuel")</f>
        <v>8.1.1.1-2 Transport fuel</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HYPERLINK("#'8.2.1.1-2 Stationary fuel'!A1", "8.2.1.1-2 Stationary fuel")</f>
        <v>8.2.1.1-2 Stationary fuel</v>
      </c>
      <c r="D38" s="88" t="s">
        <v>260</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HYPERLINK("#'14.1.1-2 Purchased electricity'!A1", "14.1.1-2 Purchased electricity")</f>
        <v>14.1.1-2 Purchased electricity</v>
      </c>
      <c r="D39" s="88" t="s">
        <v>132</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HYPERLINK("#'15 Scope 3'!A1", "15 Scope 3")</f>
        <v>15 Scope 3</v>
      </c>
    </row>
    <row r="41" spans="1:34" ht="20.100000000000001" customHeight="1" x14ac:dyDescent="0.25">
      <c r="A41" s="5" t="str">
        <f>HYPERLINK("#'Calcs - Manure sent off-site'!A1", "Calcs - Manure sent off-site")</f>
        <v>Calcs - Manure sent off-site</v>
      </c>
      <c r="D41" s="109" t="str" cm="1">
        <f t="array" ref="D41:E43">_xlfn.CHOOSECOLS(EntericMethane_PastureBeef_Equations.VEERG_3_2_1_1__3_FeedIntakeForGrazingBeef_Arguments(), 1, 2)</f>
        <v>W_jkl</v>
      </c>
      <c r="E41" s="110" t="str">
        <v>liveweight (kg)</v>
      </c>
      <c r="F41" s="112"/>
      <c r="G41" s="109" t="str" cm="1">
        <f t="array" ref="G41:H43">_xlfn.CHOOSECOLS(EntericMethane_PastureBeef_Equations.VEERG_3_2_1_1__3_FeedIntakeForGrazingBeef_Arguments(), 3,4)</f>
        <v>kg</v>
      </c>
      <c r="H41" s="113" t="str">
        <v>Input</v>
      </c>
      <c r="I41" s="115" t="str" cm="1">
        <f t="array" aca="1" ref="I41" ca="1">HYPERLINK(Common_InputFunctions.Utility_SourceHyperlink($D$45), $D$45)</f>
        <v>M1_Table_W_j_k_l</v>
      </c>
      <c r="U41" s="116" t="s">
        <v>271</v>
      </c>
    </row>
    <row r="42" spans="1:34" ht="20.100000000000001" customHeight="1" x14ac:dyDescent="0.25">
      <c r="A42" s="5" t="str">
        <f>HYPERLINK("#'10.1.1-2 Solid waste treatment'!A1", "10.1.1-2 Solid waste treatment")</f>
        <v>10.1.1-2 Solid waste treatment</v>
      </c>
      <c r="D42" s="109" t="str">
        <v>LWG_jkl</v>
      </c>
      <c r="E42" s="110" t="str">
        <v>live weight gain (kg/head/day)</v>
      </c>
      <c r="F42" s="112"/>
      <c r="G42" s="109" t="str">
        <v>kg/head/day</v>
      </c>
      <c r="H42" s="113" t="str">
        <v>Input</v>
      </c>
      <c r="I42" s="115" t="str" cm="1">
        <f t="array" aca="1" ref="I42" ca="1">HYPERLINK(Common_InputFunctions.Utility_SourceHyperlink($D$53), $D$53)</f>
        <v>M1_Table_LWG_j_k_l</v>
      </c>
      <c r="U42" s="117" t="s">
        <v>272</v>
      </c>
    </row>
    <row r="43" spans="1:34" ht="20.100000000000001" customHeight="1" x14ac:dyDescent="0.25">
      <c r="D43" s="109" t="str">
        <v>MA_jk45</v>
      </c>
      <c r="E43" s="110" t="str">
        <v>additional intake for milk production in cows greater than 2 years</v>
      </c>
      <c r="F43" s="112"/>
      <c r="G43" s="109" t="str">
        <v>kg/head/day</v>
      </c>
      <c r="H43" s="114" t="str">
        <v>Calculated from 3.2.1.1, (4)</v>
      </c>
      <c r="I43" s="115" t="str" cm="1">
        <f t="array" aca="1" ref="I43" ca="1">HYPERLINK(Common_InputFunctions.Utility_SourceHyperlink($D$23), $D$23)</f>
        <v>M1_Table_MA_j_k-4-5</v>
      </c>
      <c r="U43" s="118" t="s">
        <v>77</v>
      </c>
      <c r="V43" s="119" t="s">
        <v>190</v>
      </c>
      <c r="W43" s="119" t="s">
        <v>191</v>
      </c>
      <c r="X43" s="119" t="s">
        <v>192</v>
      </c>
      <c r="Y43" s="119" t="s">
        <v>193</v>
      </c>
      <c r="Z43" s="119" t="s">
        <v>194</v>
      </c>
      <c r="AA43" s="119" t="s">
        <v>195</v>
      </c>
      <c r="AB43" s="119" t="s">
        <v>196</v>
      </c>
      <c r="AC43" s="119" t="s">
        <v>197</v>
      </c>
      <c r="AD43" s="119" t="s">
        <v>198</v>
      </c>
      <c r="AE43" s="119" t="s">
        <v>199</v>
      </c>
      <c r="AF43" s="26"/>
    </row>
    <row r="44" spans="1:34" ht="20.100000000000001" customHeight="1" x14ac:dyDescent="0.25">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209</v>
      </c>
    </row>
    <row r="45" spans="1:34" ht="20.100000000000001" customHeight="1" x14ac:dyDescent="0.25">
      <c r="A45" s="94" t="s">
        <v>1</v>
      </c>
      <c r="D45" s="116" t="s">
        <v>273</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209</v>
      </c>
    </row>
    <row r="46" spans="1:34" ht="20.100000000000001" customHeight="1" x14ac:dyDescent="0.25">
      <c r="A46" s="5" t="str">
        <f>HYPERLINK("#'Constants - Pasture Beef'!A1", "Constants - Pasture Beef")</f>
        <v>Constants - Pasture Beef</v>
      </c>
      <c r="D46" s="117" t="s">
        <v>274</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209</v>
      </c>
    </row>
    <row r="47" spans="1:34" ht="20.100000000000001" customHeight="1" x14ac:dyDescent="0.25">
      <c r="A47" s="5" t="str">
        <f>HYPERLINK("#'Constants - Ag Residue'!A1", "Constants - Ag residue")</f>
        <v>Constants - Ag residue</v>
      </c>
      <c r="D47" s="118" t="s">
        <v>78</v>
      </c>
      <c r="E47" s="119" t="s">
        <v>190</v>
      </c>
      <c r="F47" s="119" t="s">
        <v>191</v>
      </c>
      <c r="G47" s="119" t="s">
        <v>192</v>
      </c>
      <c r="H47" s="119" t="s">
        <v>193</v>
      </c>
      <c r="I47" s="119" t="s">
        <v>194</v>
      </c>
      <c r="J47" s="119" t="s">
        <v>195</v>
      </c>
      <c r="K47" s="119" t="s">
        <v>196</v>
      </c>
      <c r="L47" s="119" t="s">
        <v>197</v>
      </c>
      <c r="M47" s="119" t="s">
        <v>198</v>
      </c>
      <c r="N47" s="119" t="s">
        <v>199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209</v>
      </c>
    </row>
    <row r="48" spans="1:34" ht="20.100000000000001" customHeight="1" x14ac:dyDescent="0.25">
      <c r="A48" s="5" t="str">
        <f>HYPERLINK("#'Constants - Common Livestock'!A1", "Constants - Common Livestock")</f>
        <v>Constants - Common Livestock</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209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209</v>
      </c>
    </row>
    <row r="49" spans="1:34" ht="20.100000000000001" customHeight="1" x14ac:dyDescent="0.25">
      <c r="A49" s="5" t="str">
        <f>HYPERLINK("#'Constants - Electricity'!A1", "Constants - Electricity")</f>
        <v>Constants - Electricity</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209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209</v>
      </c>
    </row>
    <row r="50" spans="1:34" ht="20.100000000000001" customHeight="1" x14ac:dyDescent="0.25">
      <c r="A50" s="5" t="str">
        <f>HYPERLINK("#'Constants - Fertiliser'!A1", "Constants - Fertiliser")</f>
        <v>Constants - Fertiliser</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209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209</v>
      </c>
    </row>
    <row r="51" spans="1:34" ht="20.100000000000001" customHeight="1" x14ac:dyDescent="0.25">
      <c r="A51" s="5" t="str">
        <f>HYPERLINK("#'Constants - Fuel'!A1", "Constants - Fuel")</f>
        <v>Constants - Fuel</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209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209</v>
      </c>
      <c r="AG51" s="26"/>
      <c r="AH51" s="26"/>
    </row>
    <row r="52" spans="1:34" ht="20.100000000000001" customHeight="1" x14ac:dyDescent="0.25">
      <c r="A52" s="5" t="str">
        <f>HYPERLINK("#'Constants - Scope 3'!A1", "Constants - Scope 3")</f>
        <v>Constants - Scope 3</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209</v>
      </c>
      <c r="AG52" s="26"/>
      <c r="AH52" s="26"/>
    </row>
    <row r="53" spans="1:34" ht="20.100000000000001" customHeight="1" x14ac:dyDescent="0.25">
      <c r="A53" s="5" t="str">
        <f>HYPERLINK("#'Constants - Common'!A1", "Constants - Common")</f>
        <v>Constants - Common</v>
      </c>
      <c r="D53" s="116" t="s">
        <v>275</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209</v>
      </c>
      <c r="AG53" s="26"/>
      <c r="AH53" s="26"/>
    </row>
    <row r="54" spans="1:34" ht="20.100000000000001" customHeight="1" x14ac:dyDescent="0.25">
      <c r="A54" s="5" t="str">
        <f>HYPERLINK("#'Acknowledgements'!A1", "Acknowledgements")</f>
        <v>Acknowledgements</v>
      </c>
      <c r="D54" s="117" t="s">
        <v>276</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209</v>
      </c>
      <c r="AG54" s="26"/>
      <c r="AH54" s="26"/>
    </row>
    <row r="55" spans="1:34" ht="20.100000000000001" customHeight="1" x14ac:dyDescent="0.25">
      <c r="A55" s="5" t="str">
        <f>HYPERLINK("#'Constants - Solid Waste'!A1", "Constants - Solid Waste")</f>
        <v>Constants - Solid Waste</v>
      </c>
      <c r="D55" s="118" t="s">
        <v>78</v>
      </c>
      <c r="E55" s="119" t="s">
        <v>190</v>
      </c>
      <c r="F55" s="119" t="s">
        <v>191</v>
      </c>
      <c r="G55" s="119" t="s">
        <v>192</v>
      </c>
      <c r="H55" s="119" t="s">
        <v>193</v>
      </c>
      <c r="I55" s="119" t="s">
        <v>194</v>
      </c>
      <c r="J55" s="119" t="s">
        <v>195</v>
      </c>
      <c r="K55" s="119" t="s">
        <v>196</v>
      </c>
      <c r="L55" s="119" t="s">
        <v>197</v>
      </c>
      <c r="M55" s="119" t="s">
        <v>198</v>
      </c>
      <c r="N55" s="119" t="s">
        <v>199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209</v>
      </c>
      <c r="AG55" s="26"/>
      <c r="AH55" s="26"/>
    </row>
    <row r="56" spans="1:34" ht="20.100000000000001" customHeight="1" x14ac:dyDescent="0.25">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209</v>
      </c>
      <c r="P56" s="26"/>
      <c r="Q56" s="26"/>
      <c r="AG56" s="26"/>
      <c r="AH56" s="26"/>
    </row>
    <row r="57" spans="1:34" ht="20.100000000000001" customHeight="1" x14ac:dyDescent="0.2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209</v>
      </c>
      <c r="P57" s="26"/>
      <c r="Q57" s="26"/>
      <c r="U57" s="116" t="s">
        <v>277</v>
      </c>
      <c r="AG57" s="26"/>
      <c r="AH57" s="26"/>
    </row>
    <row r="58" spans="1:34" ht="20.100000000000001" customHeight="1" x14ac:dyDescent="0.2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209</v>
      </c>
      <c r="P58" s="26"/>
      <c r="Q58" s="26"/>
      <c r="U58" s="117" t="s">
        <v>278</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209</v>
      </c>
      <c r="P59" s="26"/>
      <c r="Q59" s="26"/>
      <c r="U59" s="118" t="s">
        <v>77</v>
      </c>
      <c r="V59" s="119" t="s">
        <v>190</v>
      </c>
      <c r="W59" s="119" t="s">
        <v>191</v>
      </c>
      <c r="X59" s="119" t="s">
        <v>192</v>
      </c>
      <c r="Y59" s="119" t="s">
        <v>193</v>
      </c>
      <c r="Z59" s="119" t="s">
        <v>194</v>
      </c>
      <c r="AA59" s="119" t="s">
        <v>195</v>
      </c>
      <c r="AB59" s="119" t="s">
        <v>196</v>
      </c>
      <c r="AC59" s="119" t="s">
        <v>197</v>
      </c>
      <c r="AD59" s="119" t="s">
        <v>198</v>
      </c>
      <c r="AE59" s="119" t="s">
        <v>199</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211</v>
      </c>
      <c r="AG60" s="26"/>
      <c r="AH60" s="26"/>
    </row>
    <row r="61" spans="1:34" ht="20.100000000000001" customHeight="1" x14ac:dyDescent="0.25">
      <c r="D61" s="116" t="s">
        <v>279</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211</v>
      </c>
      <c r="AG61" s="26"/>
      <c r="AH61" s="26"/>
    </row>
    <row r="62" spans="1:34" ht="20.100000000000001" customHeight="1" x14ac:dyDescent="0.25">
      <c r="D62" s="117" t="s">
        <v>280</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211</v>
      </c>
      <c r="AG62" s="26"/>
      <c r="AH62" s="26"/>
    </row>
    <row r="63" spans="1:34" ht="20.100000000000001" customHeight="1" x14ac:dyDescent="0.25">
      <c r="D63" s="118" t="s">
        <v>78</v>
      </c>
      <c r="E63" s="118" t="s">
        <v>190</v>
      </c>
      <c r="F63" s="118" t="s">
        <v>191</v>
      </c>
      <c r="G63" s="118" t="s">
        <v>192</v>
      </c>
      <c r="H63" s="118" t="s">
        <v>193</v>
      </c>
      <c r="I63" s="118" t="s">
        <v>194</v>
      </c>
      <c r="J63" s="118" t="s">
        <v>195</v>
      </c>
      <c r="K63" s="118" t="s">
        <v>196</v>
      </c>
      <c r="L63" s="118" t="s">
        <v>197</v>
      </c>
      <c r="M63" s="118" t="s">
        <v>198</v>
      </c>
      <c r="N63" s="118" t="s">
        <v>199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211</v>
      </c>
      <c r="AG63" s="26"/>
      <c r="AH63" s="26"/>
    </row>
    <row r="64" spans="1:34" ht="20.100000000000001" customHeight="1" x14ac:dyDescent="0.25">
      <c r="D64" s="25" t="s">
        <v>200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211</v>
      </c>
    </row>
    <row r="65" spans="3:34" ht="20.100000000000001" customHeight="1" x14ac:dyDescent="0.25">
      <c r="D65" s="25" t="s">
        <v>201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211</v>
      </c>
    </row>
    <row r="66" spans="3:34" ht="20.100000000000001" customHeight="1" x14ac:dyDescent="0.25">
      <c r="D66" s="25" t="s">
        <v>202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211</v>
      </c>
    </row>
    <row r="67" spans="3:34" ht="20.100000000000001" customHeight="1" x14ac:dyDescent="0.25">
      <c r="D67" s="25" t="s">
        <v>203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211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211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211</v>
      </c>
      <c r="AG69" s="26"/>
      <c r="AH69" s="26"/>
    </row>
    <row r="70" spans="3:34" ht="20.100000000000001" customHeight="1" x14ac:dyDescent="0.25">
      <c r="C70" s="120"/>
      <c r="D70" s="120"/>
      <c r="E70" s="120"/>
      <c r="F70" s="120"/>
      <c r="G70" s="120"/>
      <c r="H70" s="120"/>
      <c r="I70" s="120"/>
      <c r="J70" s="120"/>
      <c r="K70" s="120"/>
      <c r="L70" s="120"/>
      <c r="M70" s="120"/>
      <c r="N70" s="120"/>
      <c r="O70" s="120"/>
      <c r="P70" s="120"/>
      <c r="Q70" s="120"/>
      <c r="R70" s="120"/>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7" t="s">
        <v>258</v>
      </c>
      <c r="E73" s="107" t="str" cm="1">
        <f t="array" aca="1" ref="E73" ca="1">Common_InputFunctions.Utility_DisplayFunctionName(E85)</f>
        <v>=EntericMethane_PastureBeef_Equations.VEERG_3_2_1_1__2_DailyEntericMethaneProduction</v>
      </c>
      <c r="U73" s="116" t="s">
        <v>281</v>
      </c>
      <c r="AG73" s="26"/>
      <c r="AH73" s="26"/>
    </row>
    <row r="74" spans="3:34" ht="20.100000000000001" customHeight="1" x14ac:dyDescent="0.25">
      <c r="U74" s="117" t="s">
        <v>282</v>
      </c>
      <c r="AG74" s="26"/>
      <c r="AH74" s="26"/>
    </row>
    <row r="75" spans="3:34" ht="20.100000000000001" customHeight="1" x14ac:dyDescent="0.25">
      <c r="U75" s="118" t="s">
        <v>77</v>
      </c>
      <c r="V75" s="118" t="s">
        <v>190</v>
      </c>
      <c r="W75" s="118" t="s">
        <v>191</v>
      </c>
      <c r="X75" s="118" t="s">
        <v>192</v>
      </c>
      <c r="Y75" s="118" t="s">
        <v>193</v>
      </c>
      <c r="Z75" s="118" t="s">
        <v>194</v>
      </c>
      <c r="AA75" s="118" t="s">
        <v>195</v>
      </c>
      <c r="AB75" s="118" t="s">
        <v>196</v>
      </c>
      <c r="AC75" s="118" t="s">
        <v>197</v>
      </c>
      <c r="AD75" s="118" t="s">
        <v>198</v>
      </c>
      <c r="AE75" s="118" t="s">
        <v>199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9" t="str" cm="1">
        <f t="array" ref="D80:E80">_xlfn.CHOOSECOLS(EntericMethane_PastureBeef_Equations.VEERG_3_2_1_1__2_DailyEntericMethaneProduction_Arguments(), 1, 2)</f>
        <v>I_jkl</v>
      </c>
      <c r="E80" s="110" t="str">
        <v>dry matter intake</v>
      </c>
      <c r="F80" s="112"/>
      <c r="G80" s="109" t="str" cm="1">
        <f t="array" ref="G80:H80">_xlfn.CHOOSECOLS(EntericMethane_PastureBeef_Equations.VEERG_3_2_1_1__2_DailyEntericMethaneProduction_Arguments(), 3,4)</f>
        <v>kg DM/head/day</v>
      </c>
      <c r="H80" s="114" t="str">
        <v>Calculated from 3.2.1.1, (3)</v>
      </c>
      <c r="I80" s="115"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6" t="s">
        <v>283</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7" t="s">
        <v>284</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8" t="s">
        <v>78</v>
      </c>
      <c r="E84" s="118" t="s">
        <v>190</v>
      </c>
      <c r="F84" s="118" t="s">
        <v>191</v>
      </c>
      <c r="G84" s="118" t="s">
        <v>192</v>
      </c>
      <c r="H84" s="118" t="s">
        <v>193</v>
      </c>
      <c r="I84" s="118" t="s">
        <v>194</v>
      </c>
      <c r="J84" s="118" t="s">
        <v>195</v>
      </c>
      <c r="K84" s="118" t="s">
        <v>196</v>
      </c>
      <c r="L84" s="118" t="s">
        <v>197</v>
      </c>
      <c r="M84" s="118" t="s">
        <v>198</v>
      </c>
      <c r="N84" s="118" t="s">
        <v>199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200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201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202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203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20"/>
      <c r="D91" s="120"/>
      <c r="E91" s="120"/>
      <c r="F91" s="120"/>
      <c r="G91" s="120"/>
      <c r="H91" s="120"/>
      <c r="I91" s="120"/>
      <c r="J91" s="120"/>
      <c r="K91" s="120"/>
      <c r="L91" s="120"/>
      <c r="M91" s="120"/>
      <c r="N91" s="120"/>
      <c r="O91" s="120"/>
      <c r="P91" s="120"/>
      <c r="Q91" s="120"/>
      <c r="R91" s="120"/>
      <c r="T91" s="120"/>
      <c r="U91" s="120"/>
      <c r="V91" s="120"/>
      <c r="W91" s="120"/>
      <c r="X91" s="120"/>
      <c r="Y91" s="120"/>
      <c r="Z91" s="120"/>
      <c r="AA91" s="120"/>
      <c r="AB91" s="120"/>
      <c r="AC91" s="120"/>
      <c r="AD91" s="120"/>
      <c r="AE91" s="120"/>
      <c r="AF91" s="120"/>
      <c r="AG91" s="120"/>
      <c r="AH91" s="120"/>
      <c r="AI91" s="120"/>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7" t="s">
        <v>258</v>
      </c>
      <c r="E94" s="107" t="str" cm="1">
        <f t="array" aca="1" ref="E94" ca="1">Common_InputFunctions.Utility_DisplayFunctionName(E123)</f>
        <v>=EntericMethane_PastureBeef_Equations.VEERG_3_2_1_1__1_TotalAnnualMethaneFromEntericFermentation</v>
      </c>
      <c r="U94" s="116" t="s">
        <v>285</v>
      </c>
    </row>
    <row r="95" spans="3:35" ht="20.100000000000001" customHeight="1" x14ac:dyDescent="0.25">
      <c r="U95" s="117" t="s">
        <v>286</v>
      </c>
    </row>
    <row r="96" spans="3:35" ht="20.100000000000001" customHeight="1" x14ac:dyDescent="0.25">
      <c r="U96" s="118" t="s">
        <v>77</v>
      </c>
      <c r="V96" s="118" t="s">
        <v>190</v>
      </c>
      <c r="W96" s="118" t="s">
        <v>191</v>
      </c>
      <c r="X96" s="118" t="s">
        <v>192</v>
      </c>
      <c r="Y96" s="118" t="s">
        <v>193</v>
      </c>
      <c r="Z96" s="118" t="s">
        <v>194</v>
      </c>
      <c r="AA96" s="118" t="s">
        <v>195</v>
      </c>
      <c r="AB96" s="118" t="s">
        <v>196</v>
      </c>
      <c r="AC96" s="118" t="s">
        <v>197</v>
      </c>
      <c r="AD96" s="118" t="s">
        <v>198</v>
      </c>
      <c r="AE96" s="118"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9" t="str" cm="1">
        <f t="array" ref="D100:E102">_xlfn.CHOOSECOLS(EntericMethane_PastureBeef_Equations.VEERG_3_2_1_1__1_TotalAnnualMethaneFromEntericFermentation_Arguments(), 1, 2)</f>
        <v>D_j</v>
      </c>
      <c r="E100" s="110" t="str">
        <v>number of days the animal is on the farm in each time-period</v>
      </c>
      <c r="F100" s="112"/>
      <c r="G100" s="109" t="str" cm="1">
        <f t="array" ref="G100:H102">_xlfn.CHOOSECOLS(EntericMethane_PastureBeef_Equations.VEERG_3_2_1_1__1_TotalAnnualMethaneFromEntericFermentation_Arguments(), 3,4)</f>
        <v>days</v>
      </c>
      <c r="H100" s="113" t="str">
        <v>Input</v>
      </c>
      <c r="I100" s="115"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9" t="str">
        <v>M_jkl</v>
      </c>
      <c r="E101" s="110" t="str">
        <v>daily production of enteric methane in each time-period, class and subclass</v>
      </c>
      <c r="F101" s="112"/>
      <c r="G101" s="109" t="str">
        <v>kg CH4/head/day</v>
      </c>
      <c r="H101" s="114" t="str">
        <v>Calculated from 3.2.1.1, (2)</v>
      </c>
      <c r="I101" s="115"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9" t="str">
        <v>N_jkl</v>
      </c>
      <c r="E102" s="110" t="str">
        <v>number of beef cattle in each time-period, class and subclass</v>
      </c>
      <c r="F102" s="112"/>
      <c r="G102" s="109" t="str">
        <v>head</v>
      </c>
      <c r="H102" s="113" t="str">
        <v>Input</v>
      </c>
      <c r="I102" s="115"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6" t="s">
        <v>287</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7" t="s">
        <v>288</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8" t="s">
        <v>78</v>
      </c>
      <c r="E106" s="119" t="s">
        <v>190</v>
      </c>
      <c r="F106" s="119" t="s">
        <v>191</v>
      </c>
      <c r="G106" s="119" t="s">
        <v>192</v>
      </c>
      <c r="H106" s="119" t="s">
        <v>193</v>
      </c>
      <c r="I106" s="119" t="s">
        <v>194</v>
      </c>
      <c r="J106" s="119" t="s">
        <v>195</v>
      </c>
      <c r="K106" s="119" t="s">
        <v>196</v>
      </c>
      <c r="L106" s="119" t="s">
        <v>197</v>
      </c>
      <c r="M106" s="119" t="s">
        <v>198</v>
      </c>
      <c r="N106" s="119" t="s">
        <v>199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20"/>
      <c r="U111" s="120"/>
      <c r="V111" s="120"/>
      <c r="W111" s="120"/>
      <c r="X111" s="120"/>
      <c r="Y111" s="120"/>
      <c r="Z111" s="120"/>
      <c r="AA111" s="120"/>
      <c r="AB111" s="120"/>
      <c r="AC111" s="120"/>
      <c r="AD111" s="120"/>
      <c r="AE111" s="120"/>
      <c r="AF111" s="120"/>
      <c r="AG111" s="120"/>
      <c r="AH111" s="120"/>
      <c r="AI111" s="120"/>
    </row>
    <row r="112" spans="4:35" ht="20.100000000000001" customHeight="1" x14ac:dyDescent="0.25">
      <c r="D112" s="116"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7" t="s">
        <v>290</v>
      </c>
    </row>
    <row r="114" spans="4:34" ht="20.100000000000001" customHeight="1" x14ac:dyDescent="0.25">
      <c r="D114" s="118" t="s">
        <v>78</v>
      </c>
      <c r="E114" s="119" t="s">
        <v>190</v>
      </c>
      <c r="F114" s="119" t="s">
        <v>191</v>
      </c>
      <c r="G114" s="119" t="s">
        <v>192</v>
      </c>
      <c r="H114" s="119" t="s">
        <v>193</v>
      </c>
      <c r="I114" s="119" t="s">
        <v>194</v>
      </c>
      <c r="J114" s="119" t="s">
        <v>195</v>
      </c>
      <c r="K114" s="119" t="s">
        <v>196</v>
      </c>
      <c r="L114" s="119" t="s">
        <v>197</v>
      </c>
      <c r="M114" s="119" t="s">
        <v>198</v>
      </c>
      <c r="N114" s="119" t="s">
        <v>199</v>
      </c>
      <c r="U114" s="116"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7"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8" t="s">
        <v>77</v>
      </c>
      <c r="V116" s="119" t="s">
        <v>190</v>
      </c>
      <c r="W116" s="119" t="s">
        <v>191</v>
      </c>
      <c r="X116" s="119" t="s">
        <v>192</v>
      </c>
      <c r="Y116" s="119" t="s">
        <v>193</v>
      </c>
      <c r="Z116" s="119" t="s">
        <v>194</v>
      </c>
      <c r="AA116" s="119" t="s">
        <v>195</v>
      </c>
      <c r="AB116" s="119" t="s">
        <v>196</v>
      </c>
      <c r="AC116" s="119" t="s">
        <v>197</v>
      </c>
      <c r="AD116" s="119" t="s">
        <v>198</v>
      </c>
      <c r="AE116" s="119"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6" t="s">
        <v>293</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7" t="s">
        <v>294</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8" t="s">
        <v>78</v>
      </c>
      <c r="E122" s="118" t="s">
        <v>190</v>
      </c>
      <c r="F122" s="118" t="s">
        <v>191</v>
      </c>
      <c r="G122" s="118" t="s">
        <v>192</v>
      </c>
      <c r="H122" s="118" t="s">
        <v>193</v>
      </c>
      <c r="I122" s="118" t="s">
        <v>194</v>
      </c>
      <c r="J122" s="118" t="s">
        <v>195</v>
      </c>
      <c r="K122" s="118" t="s">
        <v>196</v>
      </c>
      <c r="L122" s="118" t="s">
        <v>197</v>
      </c>
      <c r="M122" s="118" t="s">
        <v>198</v>
      </c>
      <c r="N122" s="118" t="s">
        <v>199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21" t="s">
        <v>295</v>
      </c>
      <c r="E128" s="122">
        <f ca="1">SUM(E123:N126)</f>
        <v>54.595755432192263</v>
      </c>
      <c r="F128" s="123"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4" t="str" cm="1">
        <f t="array" ref="D130:E131">Common_Equations.Common_ConvertCH4ToCO2e_Arguments()</f>
        <v>ECH4</v>
      </c>
      <c r="E130" s="125" t="str">
        <v>Methane emissions (t CH4)</v>
      </c>
      <c r="F130" s="126"/>
      <c r="G130" s="25">
        <f ca="1">E128</f>
        <v>54.595755432192263</v>
      </c>
      <c r="Q130" s="26"/>
      <c r="U130" s="116" t="s">
        <v>296</v>
      </c>
    </row>
    <row r="131" spans="4:34" ht="20.100000000000001" customHeight="1" x14ac:dyDescent="0.25">
      <c r="D131" s="124" t="str">
        <v>GWPCH4</v>
      </c>
      <c r="E131" s="125" t="str">
        <v>Global warming potential for methane (t CO2-e / t CH4)</v>
      </c>
      <c r="F131" s="126"/>
      <c r="G131" s="25">
        <f>Common_InputFunctions.Utility_LookupValueInTableNumber("CH4",Table_GWPData[Gas],Table_GWPData[CO2-e factor])</f>
        <v>28</v>
      </c>
      <c r="U131" s="117" t="s">
        <v>297</v>
      </c>
      <c r="AH131" s="26"/>
    </row>
    <row r="132" spans="4:34" ht="20.100000000000001" customHeight="1" x14ac:dyDescent="0.25">
      <c r="U132" s="118" t="s">
        <v>77</v>
      </c>
      <c r="V132" s="119" t="s">
        <v>190</v>
      </c>
      <c r="W132" s="119" t="s">
        <v>191</v>
      </c>
      <c r="X132" s="119" t="s">
        <v>192</v>
      </c>
      <c r="Y132" s="119" t="s">
        <v>193</v>
      </c>
      <c r="Z132" s="119" t="s">
        <v>194</v>
      </c>
      <c r="AA132" s="119" t="s">
        <v>195</v>
      </c>
      <c r="AB132" s="119" t="s">
        <v>196</v>
      </c>
      <c r="AC132" s="119" t="s">
        <v>197</v>
      </c>
      <c r="AD132" s="119" t="s">
        <v>198</v>
      </c>
      <c r="AE132" s="119" t="s">
        <v>199</v>
      </c>
      <c r="AF132" s="26"/>
      <c r="AH132" s="26"/>
    </row>
    <row r="133" spans="4:34" ht="20.100000000000001" customHeight="1" x14ac:dyDescent="0.25">
      <c r="D133" s="120" t="s">
        <v>298</v>
      </c>
      <c r="E133" s="120" cm="1">
        <f t="array" aca="1" ref="E133" ca="1">Common_Equations.Common_ConvertN2OToCO2e(G130,G131)</f>
        <v>1528.6811521013833</v>
      </c>
      <c r="F133" s="127"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6" t="s">
        <v>299</v>
      </c>
    </row>
    <row r="147" spans="21:32" ht="20.100000000000001" customHeight="1" x14ac:dyDescent="0.25">
      <c r="U147" s="117" t="s">
        <v>300</v>
      </c>
    </row>
    <row r="148" spans="21:32" ht="20.100000000000001" customHeight="1" x14ac:dyDescent="0.25">
      <c r="U148" s="118" t="s">
        <v>77</v>
      </c>
      <c r="V148" s="118" t="s">
        <v>190</v>
      </c>
      <c r="W148" s="118" t="s">
        <v>191</v>
      </c>
      <c r="X148" s="118" t="s">
        <v>192</v>
      </c>
      <c r="Y148" s="118" t="s">
        <v>193</v>
      </c>
      <c r="Z148" s="118" t="s">
        <v>194</v>
      </c>
      <c r="AA148" s="118" t="s">
        <v>195</v>
      </c>
      <c r="AB148" s="118" t="s">
        <v>196</v>
      </c>
      <c r="AC148" s="118" t="s">
        <v>197</v>
      </c>
      <c r="AD148" s="118" t="s">
        <v>198</v>
      </c>
      <c r="AE148" s="118" t="s">
        <v>199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21" t="s">
        <v>295</v>
      </c>
      <c r="V161" s="122">
        <f ca="1">SUM(V149:AE160)</f>
        <v>54.699181903674365</v>
      </c>
      <c r="W161" s="123">
        <f ca="1">V140</f>
        <v>31</v>
      </c>
    </row>
    <row r="162" spans="21:24" ht="20.100000000000001" customHeight="1" x14ac:dyDescent="0.25"/>
    <row r="163" spans="21:24" ht="20.100000000000001" customHeight="1" x14ac:dyDescent="0.25">
      <c r="U163" s="124" t="str" cm="1">
        <f t="array" ref="U163:V164">Common_Equations.Common_ConvertCH4ToCO2e_Arguments()</f>
        <v>ECH4</v>
      </c>
      <c r="V163" s="125" t="str">
        <v>Methane emissions (t CH4)</v>
      </c>
      <c r="W163" s="126"/>
      <c r="X163" s="25">
        <f ca="1">V161</f>
        <v>54.699181903674365</v>
      </c>
    </row>
    <row r="164" spans="21:24" ht="20.100000000000001" customHeight="1" x14ac:dyDescent="0.25">
      <c r="U164" s="124" t="str">
        <v>GWPCH4</v>
      </c>
      <c r="V164" s="125" t="str">
        <v>Global warming potential for methane (t CO2-e / t CH4)</v>
      </c>
      <c r="W164" s="126"/>
      <c r="X164" s="25">
        <f>Common_InputFunctions.Utility_LookupValueInTableNumber("CH4",Table_GWPData[Gas],Table_GWPData[CO2-e factor])</f>
        <v>28</v>
      </c>
    </row>
    <row r="165" spans="21:24" ht="20.100000000000001" customHeight="1" x14ac:dyDescent="0.25"/>
    <row r="166" spans="21:24" ht="20.100000000000001" customHeight="1" x14ac:dyDescent="0.25">
      <c r="U166" s="120" t="s">
        <v>298</v>
      </c>
      <c r="V166" s="120" cm="1">
        <f t="array" aca="1" ref="V166" ca="1">Common_Equations.Common_ConvertN2OToCO2e(X163,X164)</f>
        <v>1531.5770933028823</v>
      </c>
      <c r="W166" s="127"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61D97562-3747-440C-AC1C-38F893286CD1}"/>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30B0D-7DA2-4C01-B65B-91401C730CBF}">
  <dimension ref="A1:AK281"/>
  <sheetViews>
    <sheetView showGridLines="0" topLeftCell="A209"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7" t="s">
        <v>258</v>
      </c>
      <c r="E7" s="107" t="s">
        <v>259</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132</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Pasture'!A1", "Pasture")</f>
        <v>Pasture</v>
      </c>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HYPERLINK(Common_InputFunctions.Utility_SourceHyperlink($D$19), $D$19)</f>
        <v>M1_Table_LC_j_k-4-5</v>
      </c>
    </row>
    <row r="14" spans="1:37" ht="20.100000000000001" customHeight="1" x14ac:dyDescent="0.25">
      <c r="A14" s="5" t="str">
        <f>HYPERLINK("#'Input - Fertiliser'!A1", "Fertiliser")</f>
        <v>Fertiliser</v>
      </c>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Fuel'!A1", "Fuel")</f>
        <v>Fuel</v>
      </c>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Electricity'!A1", "Electricity")</f>
        <v>Electricity</v>
      </c>
      <c r="D16" s="109" t="str">
        <v>b</v>
      </c>
      <c r="E16" s="110" t="str">
        <v>breed of cattle</v>
      </c>
      <c r="F16" s="111"/>
      <c r="G16" s="112"/>
      <c r="H16" s="109" t="str">
        <v/>
      </c>
      <c r="I16" s="113" t="str">
        <v>Input</v>
      </c>
      <c r="J16" s="109" t="str">
        <f>X_Cell_PastureBeef_Breed</f>
        <v>Hereford or Shorthorn breeds</v>
      </c>
    </row>
    <row r="17" spans="1:36" ht="20.100000000000001" customHeight="1" x14ac:dyDescent="0.25">
      <c r="A17" s="5" t="str">
        <f>HYPERLINK("#'Input - Farm Inputs'!A1", "Farm Inputs")</f>
        <v>Farm Inputs</v>
      </c>
    </row>
    <row r="18" spans="1:36" ht="20.100000000000001" customHeight="1" x14ac:dyDescent="0.25">
      <c r="A18" s="5" t="str">
        <f>HYPERLINK("#'Input - Freight'!A1", "Freight")</f>
        <v>Freight</v>
      </c>
    </row>
    <row r="19" spans="1:36" ht="20.100000000000001" customHeight="1" x14ac:dyDescent="0.25">
      <c r="A19" s="5" t="str">
        <f>HYPERLINK("#'Input - Manure sent off-site'!A1", "Manure sent off-site")</f>
        <v>Manure sent off-site</v>
      </c>
      <c r="D19" s="116" t="s">
        <v>261</v>
      </c>
      <c r="W19" s="116" t="s">
        <v>263</v>
      </c>
    </row>
    <row r="20" spans="1:36" ht="20.100000000000001" customHeight="1" x14ac:dyDescent="0.25">
      <c r="A20" s="5" t="str">
        <f>HYPERLINK("#'Input - Solid waste'!A1", "Solid waste")</f>
        <v>Solid waste</v>
      </c>
      <c r="D20" s="117" t="s">
        <v>262</v>
      </c>
      <c r="W20" s="117" t="s">
        <v>264</v>
      </c>
    </row>
    <row r="21" spans="1:36" ht="20.100000000000001" customHeight="1" x14ac:dyDescent="0.25">
      <c r="D21" s="118" t="s">
        <v>78</v>
      </c>
      <c r="E21" s="119" t="s">
        <v>213</v>
      </c>
      <c r="F21" s="119" t="s">
        <v>193</v>
      </c>
      <c r="G21" s="119" t="s">
        <v>194</v>
      </c>
      <c r="H21" s="119" t="s">
        <v>195</v>
      </c>
      <c r="W21" s="118" t="s">
        <v>77</v>
      </c>
      <c r="X21" s="119" t="s">
        <v>193</v>
      </c>
      <c r="Y21" s="119" t="s">
        <v>194</v>
      </c>
      <c r="Z21" s="119" t="s">
        <v>195</v>
      </c>
    </row>
    <row r="22" spans="1:36" ht="20.100000000000001" customHeight="1" x14ac:dyDescent="0.25">
      <c r="D22" s="25" t="s">
        <v>200</v>
      </c>
      <c r="E22" s="25" t="str">
        <f>'Input - Pasture Beef'!$E112</f>
        <v>Yes</v>
      </c>
      <c r="F22" s="177">
        <f>'Input - Pasture Beef'!$F112</f>
        <v>0.1</v>
      </c>
      <c r="G22" s="177">
        <f>'Input - Pasture Beef'!$G112</f>
        <v>0.4</v>
      </c>
      <c r="H22" s="177">
        <f>'Input - Pasture Beef'!$H112</f>
        <v>0.4</v>
      </c>
      <c r="I22" s="26" t="s">
        <v>265</v>
      </c>
      <c r="W22" s="25" t="str">
        <f>TEXT(EDATE('Input - Pasture Beef'!$D$125,0), "mmmm") &amp; ", " &amp; TEXT(EDATE('Input - Pasture Beef'!$D$126,0), "mmmm") &amp; ", " &amp; TEXT(EDATE('Input - Pasture Beef'!$D$127,0), "mmmm")</f>
        <v>August, September, October</v>
      </c>
      <c r="X22" s="177">
        <f>'Input - Pasture Beef'!$E$128</f>
        <v>0.75</v>
      </c>
      <c r="Y22" s="177">
        <f>'Input - Pasture Beef'!$F$128</f>
        <v>0.75</v>
      </c>
      <c r="Z22" s="177">
        <f>'Input - Pasture Beef'!$G$128</f>
        <v>0.75</v>
      </c>
      <c r="AA22" s="26" t="s">
        <v>265</v>
      </c>
    </row>
    <row r="23" spans="1:36" ht="20.100000000000001" customHeight="1" x14ac:dyDescent="0.25">
      <c r="A23" s="6" t="s">
        <v>2</v>
      </c>
      <c r="D23" s="25" t="s">
        <v>201</v>
      </c>
      <c r="E23" s="25" t="str">
        <f>'Input - Pasture Beef'!$E113</f>
        <v>Yes</v>
      </c>
      <c r="F23" s="177">
        <f>'Input - Pasture Beef'!$F113</f>
        <v>0.1</v>
      </c>
      <c r="G23" s="177">
        <f>'Input - Pasture Beef'!$G113</f>
        <v>0</v>
      </c>
      <c r="H23" s="177">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HYPERLINK("#'3.2.1.1-2 Enteric Methane'!A1", "3.2.1.1-2 Enteric methane")</f>
        <v>3.2.1.1-2 Enteric methane</v>
      </c>
      <c r="D24" s="25" t="s">
        <v>202</v>
      </c>
      <c r="E24" s="25" t="str">
        <f>'Input - Pasture Beef'!$E114</f>
        <v>No</v>
      </c>
      <c r="F24" s="177">
        <f>'Input - Pasture Beef'!$F114</f>
        <v>0</v>
      </c>
      <c r="G24" s="177">
        <f>'Input - Pasture Beef'!$G114</f>
        <v>0</v>
      </c>
      <c r="H24" s="177">
        <f>'Input - Pasture Beef'!$H114</f>
        <v>0</v>
      </c>
      <c r="AA24" s="26"/>
    </row>
    <row r="25" spans="1:36" ht="20.100000000000001" customHeight="1" x14ac:dyDescent="0.25">
      <c r="A25" s="108" t="str">
        <f>HYPERLINK("#'4.2.1.1-2 Methane'!A1", "4.2.1.1-2 Manure methane")</f>
        <v>4.2.1.1-2 Manure methane</v>
      </c>
      <c r="D25" s="25" t="s">
        <v>203</v>
      </c>
      <c r="E25" s="25" t="str">
        <f>'Input - Pasture Beef'!$E112</f>
        <v>Yes</v>
      </c>
      <c r="F25" s="177">
        <f>'Input - Pasture Beef'!$F$111</f>
        <v>0.7</v>
      </c>
      <c r="G25" s="177">
        <f>'Input - Pasture Beef'!$G$111</f>
        <v>0.5</v>
      </c>
      <c r="H25" s="177">
        <f>'Input - Pasture Beef'!$H$111</f>
        <v>0.5</v>
      </c>
      <c r="W25" s="116" t="s">
        <v>269</v>
      </c>
    </row>
    <row r="26" spans="1:36" ht="20.100000000000001" customHeight="1" x14ac:dyDescent="0.25">
      <c r="A26" s="5" t="str">
        <f>HYPERLINK("#'4.2.1.3-4 Soil direct N20'!A1", "4.2.1.3-4 Soil direct N2O")</f>
        <v>4.2.1.3-4 Soil direct N2O</v>
      </c>
      <c r="W26" s="117" t="s">
        <v>270</v>
      </c>
    </row>
    <row r="27" spans="1:36" ht="20.100000000000001" customHeight="1" x14ac:dyDescent="0.25">
      <c r="A27" s="5" t="str">
        <f>HYPERLINK("#'4.2.1.5-6 Soil Atmos Dep'!A1", "4.2.1.5-6 Soil atm. deposition")</f>
        <v>4.2.1.5-6 Soil atm. deposition</v>
      </c>
      <c r="D27" s="116" t="s">
        <v>266</v>
      </c>
      <c r="W27" s="118" t="s">
        <v>77</v>
      </c>
      <c r="X27" s="118" t="s">
        <v>213</v>
      </c>
      <c r="Y27" s="118" t="s">
        <v>268</v>
      </c>
      <c r="Z27" s="118" t="s">
        <v>190</v>
      </c>
      <c r="AA27" s="118" t="s">
        <v>191</v>
      </c>
      <c r="AB27" s="118" t="s">
        <v>192</v>
      </c>
      <c r="AC27" s="118" t="s">
        <v>193</v>
      </c>
      <c r="AD27" s="118" t="s">
        <v>194</v>
      </c>
      <c r="AE27" s="118" t="s">
        <v>195</v>
      </c>
      <c r="AF27" s="118" t="s">
        <v>196</v>
      </c>
      <c r="AG27" s="118" t="s">
        <v>197</v>
      </c>
      <c r="AH27" s="118" t="s">
        <v>198</v>
      </c>
      <c r="AI27" s="118" t="s">
        <v>199</v>
      </c>
    </row>
    <row r="28" spans="1:36" ht="20.100000000000001" customHeight="1" x14ac:dyDescent="0.25">
      <c r="A28" s="5" t="str">
        <f>HYPERLINK("#'4.2.1.7-8 Soil leach runoff'!A1", "4.2.1.7-8 Soil leach &amp; runoff")</f>
        <v>4.2.1.7-8 Soil leach &amp; runoff</v>
      </c>
      <c r="D28" s="117" t="s">
        <v>267</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HYPERLINK("#'5.1.1.1-2 Inorganic fert N2O'!A1", "5.1.1.1-2 Inorganic fert N2O")</f>
        <v>5.1.1.1-2 Inorganic fert N2O</v>
      </c>
      <c r="D29" s="118" t="s">
        <v>78</v>
      </c>
      <c r="E29" s="118" t="s">
        <v>213</v>
      </c>
      <c r="F29" s="118" t="s">
        <v>377</v>
      </c>
      <c r="G29" s="118" t="s">
        <v>268</v>
      </c>
      <c r="H29" s="118" t="s">
        <v>268</v>
      </c>
      <c r="I29" s="118" t="s">
        <v>190</v>
      </c>
      <c r="J29" s="118" t="s">
        <v>191</v>
      </c>
      <c r="K29" s="118" t="s">
        <v>192</v>
      </c>
      <c r="L29" s="118" t="s">
        <v>193</v>
      </c>
      <c r="M29" s="118" t="s">
        <v>194</v>
      </c>
      <c r="N29" s="118" t="s">
        <v>195</v>
      </c>
      <c r="O29" s="118" t="s">
        <v>196</v>
      </c>
      <c r="P29" s="118" t="s">
        <v>197</v>
      </c>
      <c r="Q29" s="118" t="s">
        <v>198</v>
      </c>
      <c r="R29" s="118" t="s">
        <v>199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HYPERLINK("#'5.1.1.3-4 Inorganic fert CO2'!A1", "5.1.1.3-4 Inorganic fert CO2")</f>
        <v>5.1.1.3-4 Inorganic fert CO2</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31" cm="1">
        <f t="array" ref="L30">EntericMethane_PastureBeef_Equations.VEERG_3_2_1_1__4_AdditionalIntakeForMilkProductionVariation(F22,F25,$G30,$H30)</f>
        <v>1.1000000000000001</v>
      </c>
      <c r="M30" s="131" cm="1">
        <f t="array" ref="M30">EntericMethane_PastureBeef_Equations.VEERG_3_2_1_1__4_AdditionalIntakeForMilkProductionVariation(G22,G25,$G30,$H30)</f>
        <v>1.17</v>
      </c>
      <c r="N30" s="131"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HYPERLINK("#'5.2.1.1-2 Organic Fert N2O'!A1", "5.2.1.1-2 Organic fert N2O")</f>
        <v>5.2.1.1-2 Organic fert N2O</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31" cm="1">
        <f t="array" ref="L31">EntericMethane_PastureBeef_Equations.VEERG_3_2_1_1__4_AdditionalIntakeForMilkProductionVariation(F23,F22,$G31,$H31)</f>
        <v>1.04</v>
      </c>
      <c r="M31" s="131" cm="1">
        <f t="array" ref="M31">EntericMethane_PastureBeef_Equations.VEERG_3_2_1_1__4_AdditionalIntakeForMilkProductionVariation(G23,G22,$G31,$H31)</f>
        <v>1.04</v>
      </c>
      <c r="N31" s="131"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HYPERLINK("#'5.3.1.1-2 Lime CO2'!A1", "5.3.1.1-2 Lime CO2")</f>
        <v>5.3.1.1-2 Lime CO2</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31" cm="1">
        <f t="array" ref="L32">EntericMethane_PastureBeef_Equations.VEERG_3_2_1_1__4_AdditionalIntakeForMilkProductionVariation(F24,F23,$G32,$H32)</f>
        <v>1.01</v>
      </c>
      <c r="M32" s="131" cm="1">
        <f t="array" ref="M32">EntericMethane_PastureBeef_Equations.VEERG_3_2_1_1__4_AdditionalIntakeForMilkProductionVariation(G24,G23,$G32,$H32)</f>
        <v>1</v>
      </c>
      <c r="N32" s="131"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HYPERLINK("#'5.4.1.1-4 Atmos deposition'!A1", "5.4.1.1-4 Atmos. deposition")</f>
        <v>5.4.1.1-4 Atmos. deposition</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31" cm="1">
        <f t="array" ref="L33">EntericMethane_PastureBeef_Equations.VEERG_3_2_1_1__4_AdditionalIntakeForMilkProductionVariation(F25,F24,$G33,$H33)</f>
        <v>1.21</v>
      </c>
      <c r="M33" s="131" cm="1">
        <f t="array" ref="M33">EntericMethane_PastureBeef_Equations.VEERG_3_2_1_1__4_AdditionalIntakeForMilkProductionVariation(G25,G24,$G33,$H33)</f>
        <v>1.1499999999999999</v>
      </c>
      <c r="N33" s="131"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HYPERLINK("#'5.5.1.1-2 Leaching and runoff'!A1", "5.5.1.1-2 Leaching &amp; runoff")</f>
        <v>5.5.1.1-2 Leaching &amp; runoff</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HYPERLINK("#'6.2.1.1-2 Pasture residue N2O'!A1", "6.2.1.1-2 Pasture residue N2O")</f>
        <v>6.2.1.1-2 Pasture residue N2O</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HYPERLINK("#'6.3.1.1-2 Leach runoff pasture'!A1", "6.3.1.1-2 Leach &amp; runoff (pasture)")</f>
        <v>6.3.1.1-2 Leach &amp; runoff (pasture)</v>
      </c>
      <c r="C36" s="120"/>
      <c r="D36" s="120"/>
      <c r="E36" s="120"/>
      <c r="F36" s="120"/>
      <c r="G36" s="120"/>
      <c r="H36" s="120"/>
      <c r="I36" s="120"/>
      <c r="J36" s="120"/>
      <c r="K36" s="120"/>
      <c r="L36" s="120"/>
      <c r="M36" s="120"/>
      <c r="N36" s="120"/>
      <c r="O36" s="120"/>
      <c r="P36" s="120"/>
      <c r="Q36" s="120"/>
      <c r="R36" s="120"/>
      <c r="S36" s="120"/>
      <c r="T36" s="120"/>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HYPERLINK("#'8.1.1.1-2 Transport fuel'!A1", "8.1.1.1-2 Transport fuel")</f>
        <v>8.1.1.1-2 Transport fuel</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HYPERLINK("#'8.2.1.1-2 Stationary fuel'!A1", "8.2.1.1-2 Stationary fuel")</f>
        <v>8.2.1.1-2 Stationary fuel</v>
      </c>
      <c r="D38" s="27" t="str" cm="1">
        <f t="array" ref="D38">EntericMethane_PastureBeef_Equations.VEERG_3_2_1_1__3_FeedIntakeForGrazingBeef_Source()</f>
        <v>VEERG 2026: 3.2.1.1, Equation (3)</v>
      </c>
      <c r="K38" s="1" t="s">
        <v>390</v>
      </c>
      <c r="L38" s="1" t="s">
        <v>391</v>
      </c>
      <c r="M38" s="1" t="s">
        <v>392</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HYPERLINK("#'14.1.1-2 Purchased electricity'!A1", "14.1.1-2 Purchased electricity")</f>
        <v>14.1.1-2 Purchased electricity</v>
      </c>
      <c r="D39" s="107" t="s">
        <v>258</v>
      </c>
      <c r="E39" s="107"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HYPERLINK("#'15 Scope 3'!A1", "15 Scope 3")</f>
        <v>15 Scope 3</v>
      </c>
    </row>
    <row r="41" spans="1:36" ht="20.100000000000001" customHeight="1" x14ac:dyDescent="0.25">
      <c r="A41" s="5" t="str">
        <f>HYPERLINK("#'Calcs - Manure sent off-site'!A1", "Calcs - Manure sent off-site")</f>
        <v>Calcs - Manure sent off-site</v>
      </c>
      <c r="W41" s="116" t="s">
        <v>271</v>
      </c>
    </row>
    <row r="42" spans="1:36" ht="20.100000000000001" customHeight="1" x14ac:dyDescent="0.25">
      <c r="A42" s="5" t="str">
        <f>HYPERLINK("#'10.1.1-2 Solid waste treatment'!A1", "10.1.1-2 Solid waste treatment")</f>
        <v>10.1.1-2 Solid waste treatment</v>
      </c>
      <c r="D42" s="88" t="s">
        <v>260</v>
      </c>
      <c r="E42" s="1" t="str" cm="1">
        <f t="array" ref="E42">EntericMethane_PastureBeef_Equations.VEERG_3_2_1_1__3_FeedIntakeForGrazingBeef_Variable()</f>
        <v>I_jkl</v>
      </c>
      <c r="W42" s="117" t="s">
        <v>272</v>
      </c>
    </row>
    <row r="43" spans="1:36" ht="20.100000000000001" customHeight="1" x14ac:dyDescent="0.25">
      <c r="D43" s="88" t="s">
        <v>132</v>
      </c>
      <c r="E43" s="15" t="str" cm="1">
        <f t="array" ref="E43">EntericMethane_PastureBeef_Equations.VEERG_3_2_1_1__3_FeedIntakeForGrazingBeef_Unit()</f>
        <v>kg DM/head/day</v>
      </c>
      <c r="W43" s="118" t="s">
        <v>77</v>
      </c>
      <c r="X43" s="119" t="s">
        <v>190</v>
      </c>
      <c r="Y43" s="119" t="s">
        <v>191</v>
      </c>
      <c r="Z43" s="119" t="s">
        <v>192</v>
      </c>
      <c r="AA43" s="119" t="s">
        <v>193</v>
      </c>
      <c r="AB43" s="119" t="s">
        <v>194</v>
      </c>
      <c r="AC43" s="119" t="s">
        <v>195</v>
      </c>
      <c r="AD43" s="119" t="s">
        <v>196</v>
      </c>
      <c r="AE43" s="119" t="s">
        <v>197</v>
      </c>
      <c r="AF43" s="119" t="s">
        <v>198</v>
      </c>
      <c r="AG43" s="119" t="s">
        <v>199</v>
      </c>
      <c r="AH43" s="26"/>
    </row>
    <row r="44" spans="1:36" ht="20.100000000000001" customHeight="1" x14ac:dyDescent="0.25">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209</v>
      </c>
    </row>
    <row r="45" spans="1:36" ht="20.100000000000001" customHeight="1" x14ac:dyDescent="0.25">
      <c r="A45" s="94" t="s">
        <v>1</v>
      </c>
      <c r="D45" s="109" t="str" cm="1">
        <f t="array" ref="D45:E47">_xlfn.CHOOSECOLS(EntericMethane_PastureBeef_Equations.VEERG_3_2_1_1__3_FeedIntakeForGrazingBeef_Arguments(), 1, 2)</f>
        <v>W_jkl</v>
      </c>
      <c r="E45" s="110" t="str">
        <v>liveweight (kg)</v>
      </c>
      <c r="F45" s="112"/>
      <c r="G45" s="109" t="str" cm="1">
        <f t="array" ref="G45:H47">_xlfn.CHOOSECOLS(EntericMethane_PastureBeef_Equations.VEERG_3_2_1_1__3_FeedIntakeForGrazingBeef_Arguments(), 3,4)</f>
        <v>kg</v>
      </c>
      <c r="H45" s="113" t="str">
        <v>Input</v>
      </c>
      <c r="I45" s="115"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209</v>
      </c>
    </row>
    <row r="46" spans="1:36" ht="20.100000000000001" customHeight="1" x14ac:dyDescent="0.25">
      <c r="A46" s="5" t="str">
        <f>HYPERLINK("#'Constants - Pasture Beef'!A1", "Constants - Pasture Beef")</f>
        <v>Constants - Pasture Beef</v>
      </c>
      <c r="D46" s="109" t="str">
        <v>LWG_jkl</v>
      </c>
      <c r="E46" s="110" t="str">
        <v>live weight gain (kg/head/day)</v>
      </c>
      <c r="F46" s="112"/>
      <c r="G46" s="109" t="str">
        <v>kg/head/day</v>
      </c>
      <c r="H46" s="113" t="str">
        <v>Input</v>
      </c>
      <c r="I46" s="115"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209</v>
      </c>
    </row>
    <row r="47" spans="1:36" ht="20.100000000000001" customHeight="1" x14ac:dyDescent="0.25">
      <c r="A47" s="5" t="str">
        <f>HYPERLINK("#'Constants - Ag Residue'!A1", "Constants - Ag residue")</f>
        <v>Constants - Ag residue</v>
      </c>
      <c r="D47" s="109" t="str">
        <v>MA_jk45</v>
      </c>
      <c r="E47" s="110" t="str">
        <v>additional intake for milk production in cows greater than 2 years</v>
      </c>
      <c r="F47" s="112"/>
      <c r="G47" s="109" t="str">
        <v>kg/head/day</v>
      </c>
      <c r="H47" s="114" t="str">
        <v>Calculated from 3.2.1.1, (4)</v>
      </c>
      <c r="I47" s="115"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209</v>
      </c>
    </row>
    <row r="48" spans="1:36" ht="20.100000000000001" customHeight="1" x14ac:dyDescent="0.25">
      <c r="A48" s="5" t="str">
        <f>HYPERLINK("#'Constants - Common Livestock'!A1", "Constants - Common Livestock")</f>
        <v>Constants - Common Livestock</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209</v>
      </c>
    </row>
    <row r="49" spans="1:36" ht="20.100000000000001" customHeight="1" x14ac:dyDescent="0.25">
      <c r="A49" s="5" t="str">
        <f>HYPERLINK("#'Constants - Electricity'!A1", "Constants - Electricity")</f>
        <v>Constants - Electricity</v>
      </c>
      <c r="D49" s="116" t="s">
        <v>273</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209</v>
      </c>
    </row>
    <row r="50" spans="1:36" ht="20.100000000000001" customHeight="1" x14ac:dyDescent="0.25">
      <c r="A50" s="5" t="str">
        <f>HYPERLINK("#'Constants - Fertiliser'!A1", "Constants - Fertiliser")</f>
        <v>Constants - Fertiliser</v>
      </c>
      <c r="D50" s="117" t="s">
        <v>274</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209</v>
      </c>
    </row>
    <row r="51" spans="1:36" ht="20.100000000000001" customHeight="1" x14ac:dyDescent="0.25">
      <c r="A51" s="5" t="str">
        <f>HYPERLINK("#'Constants - Fuel'!A1", "Constants - Fuel")</f>
        <v>Constants - Fuel</v>
      </c>
      <c r="D51" s="118" t="s">
        <v>78</v>
      </c>
      <c r="E51" s="119" t="s">
        <v>190</v>
      </c>
      <c r="F51" s="119" t="s">
        <v>191</v>
      </c>
      <c r="G51" s="119" t="s">
        <v>192</v>
      </c>
      <c r="H51" s="119" t="s">
        <v>193</v>
      </c>
      <c r="I51" s="119" t="s">
        <v>194</v>
      </c>
      <c r="J51" s="119" t="s">
        <v>195</v>
      </c>
      <c r="K51" s="119" t="s">
        <v>196</v>
      </c>
      <c r="L51" s="119" t="s">
        <v>197</v>
      </c>
      <c r="M51" s="119" t="s">
        <v>198</v>
      </c>
      <c r="N51" s="119" t="s">
        <v>199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209</v>
      </c>
      <c r="AI51" s="26"/>
      <c r="AJ51" s="26"/>
    </row>
    <row r="52" spans="1:36" ht="20.100000000000001" customHeight="1" x14ac:dyDescent="0.25">
      <c r="A52" s="5" t="str">
        <f>HYPERLINK("#'Constants - Scope 3'!A1", "Constants - Scope 3")</f>
        <v>Constants - Scope 3</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209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209</v>
      </c>
      <c r="AI52" s="26"/>
      <c r="AJ52" s="26"/>
    </row>
    <row r="53" spans="1:36" ht="20.100000000000001" customHeight="1" x14ac:dyDescent="0.25">
      <c r="A53" s="5" t="str">
        <f>HYPERLINK("#'Constants - Common'!A1", "Constants - Common")</f>
        <v>Constants - Common</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209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209</v>
      </c>
      <c r="AI53" s="26"/>
      <c r="AJ53" s="26"/>
    </row>
    <row r="54" spans="1:36" ht="20.100000000000001" customHeight="1" x14ac:dyDescent="0.25">
      <c r="A54" s="5" t="str">
        <f>HYPERLINK("#'Acknowledgements'!A1", "Acknowledgements")</f>
        <v>Acknowledgements</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209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209</v>
      </c>
      <c r="AI54" s="26"/>
      <c r="AJ54" s="26"/>
    </row>
    <row r="55" spans="1:36" ht="20.100000000000001" customHeight="1" x14ac:dyDescent="0.25">
      <c r="A55" s="5" t="str">
        <f>HYPERLINK("#'Constants - Solid Waste'!A1", "Constants - Solid Waste")</f>
        <v>Constants - Solid Waste</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209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209</v>
      </c>
      <c r="AI55" s="26"/>
      <c r="AJ55" s="26"/>
    </row>
    <row r="56" spans="1:36" ht="20.100000000000001" customHeight="1" x14ac:dyDescent="0.25">
      <c r="AI56" s="26"/>
      <c r="AJ56" s="26"/>
    </row>
    <row r="57" spans="1:36" ht="20.100000000000001" customHeight="1" x14ac:dyDescent="0.25">
      <c r="W57" s="116" t="s">
        <v>277</v>
      </c>
      <c r="AI57" s="26"/>
      <c r="AJ57" s="26"/>
    </row>
    <row r="58" spans="1:36" ht="20.100000000000001" customHeight="1" x14ac:dyDescent="0.25">
      <c r="W58" s="117" t="s">
        <v>278</v>
      </c>
      <c r="AI58" s="26"/>
      <c r="AJ58" s="26"/>
    </row>
    <row r="59" spans="1:36" ht="20.100000000000001" customHeight="1" x14ac:dyDescent="0.25">
      <c r="W59" s="118" t="s">
        <v>77</v>
      </c>
      <c r="X59" s="119" t="s">
        <v>190</v>
      </c>
      <c r="Y59" s="119" t="s">
        <v>191</v>
      </c>
      <c r="Z59" s="119" t="s">
        <v>192</v>
      </c>
      <c r="AA59" s="119" t="s">
        <v>193</v>
      </c>
      <c r="AB59" s="119" t="s">
        <v>194</v>
      </c>
      <c r="AC59" s="119" t="s">
        <v>195</v>
      </c>
      <c r="AD59" s="119" t="s">
        <v>196</v>
      </c>
      <c r="AE59" s="119" t="s">
        <v>197</v>
      </c>
      <c r="AF59" s="119" t="s">
        <v>198</v>
      </c>
      <c r="AG59" s="119" t="s">
        <v>199</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211</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211</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211</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211</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211</v>
      </c>
    </row>
    <row r="65" spans="4:36" ht="20.100000000000001" customHeight="1" x14ac:dyDescent="0.25">
      <c r="D65" s="116" t="s">
        <v>275</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211</v>
      </c>
    </row>
    <row r="66" spans="4:36" ht="20.100000000000001" customHeight="1" x14ac:dyDescent="0.25">
      <c r="D66" s="117" t="s">
        <v>276</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211</v>
      </c>
    </row>
    <row r="67" spans="4:36" ht="20.100000000000001" customHeight="1" x14ac:dyDescent="0.25">
      <c r="D67" s="118" t="s">
        <v>78</v>
      </c>
      <c r="E67" s="119" t="s">
        <v>190</v>
      </c>
      <c r="F67" s="119" t="s">
        <v>191</v>
      </c>
      <c r="G67" s="119" t="s">
        <v>192</v>
      </c>
      <c r="H67" s="119" t="s">
        <v>193</v>
      </c>
      <c r="I67" s="119" t="s">
        <v>194</v>
      </c>
      <c r="J67" s="119" t="s">
        <v>195</v>
      </c>
      <c r="K67" s="119" t="s">
        <v>196</v>
      </c>
      <c r="L67" s="119" t="s">
        <v>197</v>
      </c>
      <c r="M67" s="119" t="s">
        <v>198</v>
      </c>
      <c r="N67" s="119" t="s">
        <v>199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211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209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211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209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211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209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211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209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211</v>
      </c>
      <c r="AI71" s="26"/>
      <c r="AJ71" s="26"/>
    </row>
    <row r="72" spans="4:36" ht="20.100000000000001" customHeight="1" x14ac:dyDescent="0.25">
      <c r="AI72" s="26"/>
      <c r="AJ72" s="26"/>
    </row>
    <row r="73" spans="4:36" ht="20.100000000000001" customHeight="1" x14ac:dyDescent="0.25">
      <c r="W73" s="116" t="s">
        <v>281</v>
      </c>
      <c r="AI73" s="26"/>
      <c r="AJ73" s="26"/>
    </row>
    <row r="74" spans="4:36" ht="20.100000000000001" customHeight="1" x14ac:dyDescent="0.25">
      <c r="W74" s="117" t="s">
        <v>282</v>
      </c>
      <c r="AI74" s="26"/>
      <c r="AJ74" s="26"/>
    </row>
    <row r="75" spans="4:36" ht="20.100000000000001" customHeight="1" x14ac:dyDescent="0.25">
      <c r="W75" s="118" t="s">
        <v>77</v>
      </c>
      <c r="X75" s="118" t="s">
        <v>190</v>
      </c>
      <c r="Y75" s="118" t="s">
        <v>191</v>
      </c>
      <c r="Z75" s="118" t="s">
        <v>192</v>
      </c>
      <c r="AA75" s="118" t="s">
        <v>193</v>
      </c>
      <c r="AB75" s="118" t="s">
        <v>194</v>
      </c>
      <c r="AC75" s="118" t="s">
        <v>195</v>
      </c>
      <c r="AD75" s="118" t="s">
        <v>196</v>
      </c>
      <c r="AE75" s="118" t="s">
        <v>197</v>
      </c>
      <c r="AF75" s="118" t="s">
        <v>198</v>
      </c>
      <c r="AG75" s="118" t="s">
        <v>199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6" t="s">
        <v>279</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7" t="s">
        <v>280</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8" t="s">
        <v>78</v>
      </c>
      <c r="E83" s="118" t="s">
        <v>190</v>
      </c>
      <c r="F83" s="118" t="s">
        <v>191</v>
      </c>
      <c r="G83" s="118" t="s">
        <v>192</v>
      </c>
      <c r="H83" s="118" t="s">
        <v>193</v>
      </c>
      <c r="I83" s="118" t="s">
        <v>194</v>
      </c>
      <c r="J83" s="118" t="s">
        <v>195</v>
      </c>
      <c r="K83" s="118" t="s">
        <v>196</v>
      </c>
      <c r="L83" s="118" t="s">
        <v>197</v>
      </c>
      <c r="M83" s="118" t="s">
        <v>198</v>
      </c>
      <c r="N83" s="118" t="s">
        <v>199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200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201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202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203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20"/>
      <c r="D98" s="120"/>
      <c r="E98" s="120"/>
      <c r="F98" s="120"/>
      <c r="G98" s="120"/>
      <c r="H98" s="120"/>
      <c r="I98" s="120"/>
      <c r="J98" s="120"/>
      <c r="K98" s="120"/>
      <c r="L98" s="120"/>
      <c r="M98" s="120"/>
      <c r="N98" s="120"/>
      <c r="O98" s="120"/>
      <c r="P98" s="120"/>
      <c r="Q98" s="120"/>
      <c r="R98" s="120"/>
      <c r="S98" s="120"/>
      <c r="T98" s="120"/>
      <c r="V98" s="120"/>
      <c r="W98" s="120"/>
      <c r="X98" s="120"/>
      <c r="Y98" s="120"/>
      <c r="Z98" s="120"/>
      <c r="AA98" s="120"/>
      <c r="AB98" s="120"/>
      <c r="AC98" s="120"/>
      <c r="AD98" s="120"/>
      <c r="AE98" s="120"/>
      <c r="AF98" s="120"/>
      <c r="AG98" s="120"/>
      <c r="AH98" s="120"/>
      <c r="AI98" s="120"/>
      <c r="AJ98" s="120"/>
      <c r="AK98" s="120"/>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7" t="s">
        <v>258</v>
      </c>
      <c r="E101" s="107"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9" t="str" cm="1">
        <f t="array" ref="D108:E110">_xlfn.CHOOSECOLS(MMS_PastureBeef_Methane_Equations.VEERG_4_2_1_1__3_VolatileSolidProductionFromGrazingBeef_Arguments(), 1, 2)</f>
        <v>I_jkl</v>
      </c>
      <c r="E108" s="110" t="str">
        <v>dry matter intake as calculated in Chapter 3 Section 3.2.1</v>
      </c>
      <c r="F108" s="112"/>
      <c r="G108" s="109" t="str" cm="1">
        <f t="array" ref="G108:H110">_xlfn.CHOOSECOLS(MMS_PastureBeef_Methane_Equations.VEERG_4_2_1_1__3_VolatileSolidProductionFromGrazingBeef_Arguments(), 3,4)</f>
        <v>kg/head/day</v>
      </c>
      <c r="H108" s="114" t="str">
        <v>Calculated from 3.2.1.1, (3)</v>
      </c>
      <c r="I108" s="115" t="str" cm="1">
        <f t="array" aca="1" ref="I108" ca="1">HYPERLINK(Common_InputFunctions.Utility_SourceHyperlink($D$81), $D$81)</f>
        <v>M1_Table_I_j_k_l</v>
      </c>
    </row>
    <row r="109" spans="3:37" ht="20.100000000000001" customHeight="1" x14ac:dyDescent="0.25">
      <c r="D109" s="109" t="str">
        <v>DMD_jkl</v>
      </c>
      <c r="E109" s="110" t="str">
        <v>dry matter digestibility expressed as a fraction</v>
      </c>
      <c r="F109" s="112"/>
      <c r="G109" s="109" t="str">
        <v>fraction</v>
      </c>
      <c r="H109" s="113" t="str">
        <v>Input</v>
      </c>
      <c r="I109" s="115" t="str" cm="1">
        <f t="array" aca="1" ref="I109" ca="1">HYPERLINK(Common_InputFunctions.Utility_SourceHyperlink($D$112), $D$112)</f>
        <v>M1_Table_DMD_j_k_l</v>
      </c>
    </row>
    <row r="110" spans="3:37" ht="20.100000000000001" customHeight="1" x14ac:dyDescent="0.25">
      <c r="D110" s="109" t="str">
        <v>A</v>
      </c>
      <c r="E110" s="110" t="str">
        <v>ash content of feed intake expressed as a fraction</v>
      </c>
      <c r="F110" s="112"/>
      <c r="G110" s="109" t="str">
        <v>fraction</v>
      </c>
      <c r="H110" s="114" t="str">
        <v>Constant</v>
      </c>
      <c r="I110" s="109">
        <f>SourceData_PastureBeef_AshContentOfFeedIntake_Data</f>
        <v>0.08</v>
      </c>
    </row>
    <row r="111" spans="3:37" ht="20.100000000000001" customHeight="1" x14ac:dyDescent="0.25"/>
    <row r="112" spans="3:37" ht="20.100000000000001" customHeight="1" x14ac:dyDescent="0.25">
      <c r="D112" s="116" t="s">
        <v>393</v>
      </c>
      <c r="W112" s="116" t="s">
        <v>394</v>
      </c>
    </row>
    <row r="113" spans="4:36" ht="20.100000000000001" customHeight="1" x14ac:dyDescent="0.25">
      <c r="D113" s="117" t="s">
        <v>395</v>
      </c>
      <c r="W113" s="117" t="s">
        <v>396</v>
      </c>
    </row>
    <row r="114" spans="4:36" ht="20.100000000000001" customHeight="1" x14ac:dyDescent="0.25">
      <c r="D114" s="118" t="s">
        <v>78</v>
      </c>
      <c r="E114" s="119" t="s">
        <v>190</v>
      </c>
      <c r="F114" s="119" t="s">
        <v>191</v>
      </c>
      <c r="G114" s="119" t="s">
        <v>192</v>
      </c>
      <c r="H114" s="119" t="s">
        <v>193</v>
      </c>
      <c r="I114" s="119" t="s">
        <v>194</v>
      </c>
      <c r="J114" s="119" t="s">
        <v>195</v>
      </c>
      <c r="K114" s="119" t="s">
        <v>196</v>
      </c>
      <c r="L114" s="119" t="s">
        <v>197</v>
      </c>
      <c r="M114" s="119" t="s">
        <v>198</v>
      </c>
      <c r="N114" s="119" t="s">
        <v>199</v>
      </c>
      <c r="W114" s="118" t="s">
        <v>77</v>
      </c>
      <c r="X114" s="119" t="s">
        <v>190</v>
      </c>
      <c r="Y114" s="119" t="s">
        <v>191</v>
      </c>
      <c r="Z114" s="119" t="s">
        <v>192</v>
      </c>
      <c r="AA114" s="119" t="s">
        <v>193</v>
      </c>
      <c r="AB114" s="119" t="s">
        <v>194</v>
      </c>
      <c r="AC114" s="119" t="s">
        <v>195</v>
      </c>
      <c r="AD114" s="119" t="s">
        <v>196</v>
      </c>
      <c r="AE114" s="119" t="s">
        <v>197</v>
      </c>
      <c r="AF114" s="119" t="s">
        <v>198</v>
      </c>
      <c r="AG114" s="119" t="s">
        <v>199</v>
      </c>
    </row>
    <row r="115" spans="4:36" ht="20.100000000000001" customHeight="1" x14ac:dyDescent="0.25">
      <c r="D115" s="25" t="s">
        <v>200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230</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230</v>
      </c>
      <c r="AI115" s="26"/>
      <c r="AJ115" s="26"/>
    </row>
    <row r="116" spans="4:36" ht="20.100000000000001" customHeight="1" x14ac:dyDescent="0.25">
      <c r="D116" s="25" t="s">
        <v>201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230</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230</v>
      </c>
      <c r="AI116" s="26"/>
      <c r="AJ116" s="26"/>
    </row>
    <row r="117" spans="4:36" ht="20.100000000000001" customHeight="1" x14ac:dyDescent="0.25">
      <c r="D117" s="25" t="s">
        <v>202</v>
      </c>
      <c r="E117" s="25">
        <f ca="1"/>
        <v>0.5</v>
      </c>
      <c r="F117" s="25">
        <f ca="1"/>
        <v>0.5</v>
      </c>
      <c r="G117" s="25">
        <f ca="1"/>
        <v>0.5</v>
      </c>
      <c r="H117" s="25">
        <f ca="1"/>
        <v>0.5</v>
      </c>
      <c r="I117" s="25">
        <f ca="1"/>
        <v>0.5</v>
      </c>
      <c r="J117" s="25">
        <f ca="1"/>
        <v>0.5</v>
      </c>
      <c r="K117" s="25">
        <f ca="1"/>
        <v>0.5</v>
      </c>
      <c r="L117" s="25">
        <f ca="1"/>
        <v>0.5</v>
      </c>
      <c r="M117" s="25">
        <f ca="1"/>
        <v>0.5</v>
      </c>
      <c r="N117" s="25">
        <f ca="1"/>
        <v>0.5</v>
      </c>
      <c r="O117" s="26" t="s">
        <v>230</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230</v>
      </c>
      <c r="AI117" s="26"/>
      <c r="AJ117" s="26"/>
    </row>
    <row r="118" spans="4:36" ht="20.100000000000001" customHeight="1" x14ac:dyDescent="0.25">
      <c r="D118" s="25" t="s">
        <v>203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230</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230</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230</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230</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230</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230</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230</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230</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230</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230</v>
      </c>
      <c r="AI126" s="26"/>
      <c r="AJ126" s="26"/>
    </row>
    <row r="127" spans="4:36" ht="20.100000000000001" customHeight="1" x14ac:dyDescent="0.25"/>
    <row r="128" spans="4:36" ht="20.100000000000001" customHeight="1" x14ac:dyDescent="0.25">
      <c r="D128" s="116" t="s">
        <v>397</v>
      </c>
      <c r="W128" s="116" t="s">
        <v>398</v>
      </c>
    </row>
    <row r="129" spans="4:36" ht="20.100000000000001" customHeight="1" x14ac:dyDescent="0.25">
      <c r="D129" s="117" t="s">
        <v>399</v>
      </c>
      <c r="W129" s="117" t="s">
        <v>400</v>
      </c>
    </row>
    <row r="130" spans="4:36" ht="20.100000000000001" customHeight="1" x14ac:dyDescent="0.25">
      <c r="D130" s="118" t="s">
        <v>78</v>
      </c>
      <c r="E130" s="118" t="s">
        <v>190</v>
      </c>
      <c r="F130" s="118" t="s">
        <v>191</v>
      </c>
      <c r="G130" s="118" t="s">
        <v>192</v>
      </c>
      <c r="H130" s="118" t="s">
        <v>193</v>
      </c>
      <c r="I130" s="118" t="s">
        <v>194</v>
      </c>
      <c r="J130" s="118" t="s">
        <v>195</v>
      </c>
      <c r="K130" s="118" t="s">
        <v>196</v>
      </c>
      <c r="L130" s="118" t="s">
        <v>197</v>
      </c>
      <c r="M130" s="118" t="s">
        <v>198</v>
      </c>
      <c r="N130" s="118" t="s">
        <v>199</v>
      </c>
      <c r="W130" s="118" t="s">
        <v>77</v>
      </c>
      <c r="X130" s="118" t="s">
        <v>190</v>
      </c>
      <c r="Y130" s="118" t="s">
        <v>191</v>
      </c>
      <c r="Z130" s="118" t="s">
        <v>192</v>
      </c>
      <c r="AA130" s="118" t="s">
        <v>193</v>
      </c>
      <c r="AB130" s="118" t="s">
        <v>194</v>
      </c>
      <c r="AC130" s="118" t="s">
        <v>195</v>
      </c>
      <c r="AD130" s="118" t="s">
        <v>196</v>
      </c>
      <c r="AE130" s="118" t="s">
        <v>197</v>
      </c>
      <c r="AF130" s="118" t="s">
        <v>198</v>
      </c>
      <c r="AG130" s="118" t="s">
        <v>199</v>
      </c>
    </row>
    <row r="131" spans="4:36" ht="20.100000000000001" customHeight="1" x14ac:dyDescent="0.25">
      <c r="D131" s="25" t="s">
        <v>200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201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202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203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20"/>
      <c r="D145" s="120"/>
      <c r="E145" s="120"/>
      <c r="F145" s="120"/>
      <c r="G145" s="120"/>
      <c r="H145" s="120"/>
      <c r="I145" s="120"/>
      <c r="J145" s="120"/>
      <c r="K145" s="120"/>
      <c r="L145" s="120"/>
      <c r="M145" s="120"/>
      <c r="N145" s="120"/>
      <c r="O145" s="120"/>
      <c r="P145" s="120"/>
      <c r="Q145" s="120"/>
      <c r="R145" s="120"/>
      <c r="S145" s="120"/>
      <c r="T145" s="120"/>
      <c r="V145" s="120"/>
      <c r="W145" s="120"/>
      <c r="X145" s="120"/>
      <c r="Y145" s="120"/>
      <c r="Z145" s="120"/>
      <c r="AA145" s="120"/>
      <c r="AB145" s="120"/>
      <c r="AC145" s="120"/>
      <c r="AD145" s="120"/>
      <c r="AE145" s="120"/>
      <c r="AF145" s="120"/>
      <c r="AG145" s="120"/>
      <c r="AH145" s="120"/>
      <c r="AI145" s="120"/>
      <c r="AJ145" s="120"/>
      <c r="AK145" s="120"/>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7" t="s">
        <v>258</v>
      </c>
      <c r="E148" s="107"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9" t="str" cm="1">
        <f t="array" ref="D154:E160">_xlfn.CHOOSECOLS(MMS_PastureBeef_Methane_Equations.VEERG_4_2_1_1__2_MethaneProductionFromManure_Arguments(), 1, 2)</f>
        <v>VS_jkl</v>
      </c>
      <c r="E154" s="110" t="str">
        <v>volatile solid production</v>
      </c>
      <c r="F154" s="112"/>
      <c r="G154" s="109" t="str" cm="1">
        <f t="array" ref="G154:H160">_xlfn.CHOOSECOLS(MMS_PastureBeef_Methane_Equations.VEERG_4_2_1_1__2_MethaneProductionFromManure_Arguments(), 3,4)</f>
        <v>kg/day</v>
      </c>
      <c r="H154" s="114" t="str">
        <v>Calculated from 4.2.1.1 (3)</v>
      </c>
      <c r="I154" s="115" t="str" cm="1">
        <f t="array" aca="1" ref="I154" ca="1">HYPERLINK(Common_InputFunctions.Utility_SourceHyperlink($D$128), $D$128)</f>
        <v>M1_Table_VS_j_k_l</v>
      </c>
      <c r="W154" s="109" t="str" cm="1">
        <f t="array" ref="W154:X159">_xlfn.CHOOSECOLS(MMS_PastureBeef_Methane_Equations.VEERG_4_2_1_1__2_MethaneProductionFromManure_Arguments_Method2(), 1, 2)</f>
        <v>VS_jkl</v>
      </c>
      <c r="X154" s="110" t="str">
        <v>volatile solid production</v>
      </c>
      <c r="Y154" s="112"/>
      <c r="Z154" s="109" t="str" cm="1">
        <f t="array" ref="Z154:AA159">_xlfn.CHOOSECOLS(MMS_PastureBeef_Methane_Equations.VEERG_4_2_1_1__2_MethaneProductionFromManure_Arguments_Method2(), 3,4)</f>
        <v>kg/day</v>
      </c>
      <c r="AA154" s="114" t="str">
        <v>Calculated from 4.2.1.1 (3)</v>
      </c>
      <c r="AB154" s="115"/>
    </row>
    <row r="155" spans="3:37" ht="20.100000000000001" customHeight="1" x14ac:dyDescent="0.25">
      <c r="D155" s="109" t="str">
        <v>B_o</v>
      </c>
      <c r="E155" s="110" t="str">
        <v>emissions potential</v>
      </c>
      <c r="F155" s="112"/>
      <c r="G155" s="109" t="str">
        <v>m3 CH4/kg VS</v>
      </c>
      <c r="H155" s="114" t="str">
        <v>Constant</v>
      </c>
      <c r="I155" s="109">
        <f>SourceData_PastureBeef_MethaneEmissionsPotential_Data</f>
        <v>0.19</v>
      </c>
      <c r="W155" s="109" t="str">
        <v>B_o</v>
      </c>
      <c r="X155" s="110" t="str">
        <v>emissions potential</v>
      </c>
      <c r="Y155" s="112"/>
      <c r="Z155" s="109" t="str">
        <v>m3 CH4/kg VS</v>
      </c>
      <c r="AA155" s="114" t="str">
        <v>Constant</v>
      </c>
      <c r="AB155" s="109"/>
    </row>
    <row r="156" spans="3:37" ht="20.100000000000001" customHeight="1" x14ac:dyDescent="0.25">
      <c r="D156" s="109" t="str">
        <v>MMS_m</v>
      </c>
      <c r="E156" s="110" t="str">
        <v>fraction of waste in each manure management system</v>
      </c>
      <c r="F156" s="112"/>
      <c r="G156" s="109" t="str">
        <v>fraction</v>
      </c>
      <c r="H156" s="113" t="str">
        <v>Input</v>
      </c>
      <c r="I156" s="115" t="str" cm="1">
        <f t="array" aca="1" ref="I156" ca="1">HYPERLINK(Common_InputFunctions.Utility_SourceHyperlink($D$162), $D$162)</f>
        <v>Table_MMS_m</v>
      </c>
      <c r="W156" s="109" t="str">
        <v>MMS_m</v>
      </c>
      <c r="X156" s="110" t="str">
        <v>fraction of waste in each manure management system</v>
      </c>
      <c r="Y156" s="112"/>
      <c r="Z156" s="109" t="str">
        <v>fraction</v>
      </c>
      <c r="AA156" s="113" t="str">
        <v>Input</v>
      </c>
      <c r="AB156" s="115"/>
    </row>
    <row r="157" spans="3:37" ht="20.100000000000001" customHeight="1" x14ac:dyDescent="0.25">
      <c r="D157" s="109" t="str">
        <v>MCF_im</v>
      </c>
      <c r="E157" s="110" t="str">
        <v>methane conversion factor for temperature zone and MMS</v>
      </c>
      <c r="F157" s="112"/>
      <c r="G157" s="109" t="str">
        <v>fraction</v>
      </c>
      <c r="H157" s="114" t="str">
        <v>Constant</v>
      </c>
      <c r="I157" s="115" t="str" cm="1">
        <f t="array" aca="1" ref="I157" ca="1">HYPERLINK(Common_InputFunctions.Utility_SourceHyperlink($D$168), $D$168)</f>
        <v>M1_Table_MCF_i_m</v>
      </c>
      <c r="W157" s="109" t="str">
        <v>MCF_im</v>
      </c>
      <c r="X157" s="110" t="str">
        <v>methane conversion factor for temperature zone and MMS</v>
      </c>
      <c r="Y157" s="112"/>
      <c r="Z157" s="109" t="str">
        <v>fraction</v>
      </c>
      <c r="AA157" s="114" t="str">
        <v>Constant</v>
      </c>
      <c r="AB157" s="115"/>
    </row>
    <row r="158" spans="3:37" ht="20.100000000000001" customHeight="1" x14ac:dyDescent="0.25">
      <c r="D158" s="109" t="str">
        <v>rho</v>
      </c>
      <c r="E158" s="110" t="str">
        <v>density of methane</v>
      </c>
      <c r="F158" s="112"/>
      <c r="G158" s="109" t="str">
        <v>kg/m3</v>
      </c>
      <c r="H158" s="114" t="str">
        <v>Constant</v>
      </c>
      <c r="I158" s="109">
        <f>Common_SourceData_DensityOfMethane_Data</f>
        <v>0.6784</v>
      </c>
      <c r="W158" s="109" t="str">
        <v>rho</v>
      </c>
      <c r="X158" s="110" t="str">
        <v>density of methane</v>
      </c>
      <c r="Y158" s="112"/>
      <c r="Z158" s="109" t="str">
        <v>kg/m3</v>
      </c>
      <c r="AA158" s="114" t="str">
        <v>Constant</v>
      </c>
      <c r="AB158" s="109"/>
    </row>
    <row r="159" spans="3:37" ht="20.100000000000001" customHeight="1" x14ac:dyDescent="0.25">
      <c r="D159" s="109" t="str">
        <v>i</v>
      </c>
      <c r="E159" s="110" t="str">
        <v>state</v>
      </c>
      <c r="F159" s="112"/>
      <c r="G159" s="109" t="str">
        <v/>
      </c>
      <c r="H159" s="113" t="str">
        <v>Input</v>
      </c>
      <c r="I159" s="109" t="str">
        <f>X_Cell_Site_State</f>
        <v>Western Australia</v>
      </c>
      <c r="W159" s="109" t="str">
        <v>MAT</v>
      </c>
      <c r="X159" s="110" t="str">
        <v>Mean annual temperature</v>
      </c>
      <c r="Y159" s="112"/>
      <c r="Z159" s="109" t="str">
        <v>°C</v>
      </c>
      <c r="AA159" s="113" t="str">
        <v>Input</v>
      </c>
      <c r="AB159" s="109">
        <f>X_Cell_Site_AverageTemperature</f>
        <v>18</v>
      </c>
    </row>
    <row r="160" spans="3:37" ht="20.100000000000001" customHeight="1" x14ac:dyDescent="0.25">
      <c r="D160" s="109" t="str">
        <v>i</v>
      </c>
      <c r="E160" s="110" t="str">
        <v>region</v>
      </c>
      <c r="F160" s="112"/>
      <c r="G160" s="109" t="str">
        <v/>
      </c>
      <c r="H160" s="113" t="str">
        <v>Input</v>
      </c>
      <c r="I160" s="109" t="str">
        <f>X_Cell_PastureBeef_ProductionRegion</f>
        <v>South West</v>
      </c>
    </row>
    <row r="161" spans="4:34" ht="20.100000000000001" customHeight="1" x14ac:dyDescent="0.25"/>
    <row r="162" spans="4:34" ht="20.100000000000001" customHeight="1" x14ac:dyDescent="0.25">
      <c r="D162" s="116" t="s">
        <v>401</v>
      </c>
    </row>
    <row r="163" spans="4:34" ht="20.100000000000001" customHeight="1" x14ac:dyDescent="0.25">
      <c r="D163" s="117" t="s">
        <v>402</v>
      </c>
    </row>
    <row r="164" spans="4:34" ht="20.100000000000001" customHeight="1" x14ac:dyDescent="0.25">
      <c r="D164" s="118" t="s">
        <v>403</v>
      </c>
      <c r="E164" s="119" t="s">
        <v>404</v>
      </c>
      <c r="F164" s="26" t="s">
        <v>230</v>
      </c>
    </row>
    <row r="165" spans="4:34" ht="20.100000000000001" customHeight="1" x14ac:dyDescent="0.25">
      <c r="D165" s="25" t="str">
        <f>'Input - Pasture Beef'!$D$180</f>
        <v>Pasture range and paddock</v>
      </c>
      <c r="E165" s="25">
        <f>X_Cell_PastureBeef_CalculatedMMSPastureRangeAndPaddock</f>
        <v>0.99621999999999999</v>
      </c>
      <c r="F165" s="26" t="s">
        <v>230</v>
      </c>
    </row>
    <row r="166" spans="4:34" ht="20.100000000000001" customHeight="1" x14ac:dyDescent="0.25">
      <c r="D166" s="25" t="str">
        <f>'Input - Pasture Beef'!$D$181</f>
        <v>Anaerobic lagoon</v>
      </c>
      <c r="E166" s="25">
        <f>X_Cell_PastureBeef_CalculatedMMSAnaerobicLagoon</f>
        <v>3.7799999999999999E-3</v>
      </c>
    </row>
    <row r="167" spans="4:34" ht="20.100000000000001" customHeight="1" x14ac:dyDescent="0.25"/>
    <row r="168" spans="4:34" ht="20.100000000000001" customHeight="1" x14ac:dyDescent="0.25">
      <c r="D168" s="116" t="s">
        <v>405</v>
      </c>
      <c r="W168" s="116" t="s">
        <v>406</v>
      </c>
    </row>
    <row r="169" spans="4:34" ht="20.100000000000001" customHeight="1" x14ac:dyDescent="0.25">
      <c r="D169" s="117" t="s">
        <v>407</v>
      </c>
      <c r="W169" s="117" t="s">
        <v>408</v>
      </c>
    </row>
    <row r="170" spans="4:34" ht="20.100000000000001" customHeight="1" x14ac:dyDescent="0.25">
      <c r="D170" s="118" t="s">
        <v>403</v>
      </c>
      <c r="E170" s="118" t="s">
        <v>409</v>
      </c>
      <c r="W170" s="118" t="s">
        <v>403</v>
      </c>
      <c r="X170" s="118" t="s">
        <v>409</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6" t="s">
        <v>410</v>
      </c>
      <c r="W174" s="116" t="s">
        <v>411</v>
      </c>
    </row>
    <row r="175" spans="4:34" ht="20.100000000000001" customHeight="1" x14ac:dyDescent="0.25">
      <c r="D175" s="117" t="s">
        <v>412</v>
      </c>
      <c r="W175" s="117" t="s">
        <v>413</v>
      </c>
    </row>
    <row r="176" spans="4:34" ht="20.100000000000001" customHeight="1" x14ac:dyDescent="0.25">
      <c r="D176" s="118" t="s">
        <v>403</v>
      </c>
      <c r="E176" s="118" t="s">
        <v>78</v>
      </c>
      <c r="F176" s="118" t="s">
        <v>190</v>
      </c>
      <c r="G176" s="118" t="s">
        <v>191</v>
      </c>
      <c r="H176" s="118" t="s">
        <v>192</v>
      </c>
      <c r="I176" s="118" t="s">
        <v>193</v>
      </c>
      <c r="J176" s="118" t="s">
        <v>194</v>
      </c>
      <c r="K176" s="118" t="s">
        <v>195</v>
      </c>
      <c r="L176" s="118" t="s">
        <v>196</v>
      </c>
      <c r="M176" s="118" t="s">
        <v>197</v>
      </c>
      <c r="N176" s="118" t="s">
        <v>198</v>
      </c>
      <c r="O176" s="118" t="s">
        <v>199</v>
      </c>
      <c r="W176" s="118" t="s">
        <v>403</v>
      </c>
      <c r="X176" s="118" t="s">
        <v>77</v>
      </c>
      <c r="Y176" s="118" t="s">
        <v>190</v>
      </c>
      <c r="Z176" s="118" t="s">
        <v>191</v>
      </c>
      <c r="AA176" s="118" t="s">
        <v>192</v>
      </c>
      <c r="AB176" s="118" t="s">
        <v>193</v>
      </c>
      <c r="AC176" s="118" t="s">
        <v>194</v>
      </c>
      <c r="AD176" s="118" t="s">
        <v>195</v>
      </c>
      <c r="AE176" s="118" t="s">
        <v>196</v>
      </c>
      <c r="AF176" s="118" t="s">
        <v>197</v>
      </c>
      <c r="AG176" s="118" t="s">
        <v>198</v>
      </c>
      <c r="AH176" s="118" t="s">
        <v>199</v>
      </c>
    </row>
    <row r="177" spans="4:36" ht="20.100000000000001" customHeight="1" x14ac:dyDescent="0.25">
      <c r="D177" s="25" t="str">
        <f>'Input - Pasture Beef'!$D$180</f>
        <v>Pasture range and paddock</v>
      </c>
      <c r="E177" s="25" t="s">
        <v>200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201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202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203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200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201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202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203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20"/>
      <c r="D203" s="120"/>
      <c r="E203" s="120"/>
      <c r="F203" s="120"/>
      <c r="G203" s="120"/>
      <c r="H203" s="120"/>
      <c r="I203" s="120"/>
      <c r="J203" s="120"/>
      <c r="K203" s="120"/>
      <c r="L203" s="120"/>
      <c r="M203" s="120"/>
      <c r="N203" s="120"/>
      <c r="O203" s="120"/>
      <c r="P203" s="120"/>
      <c r="Q203" s="120"/>
      <c r="R203" s="120"/>
      <c r="S203" s="120"/>
      <c r="T203" s="120"/>
      <c r="V203" s="120"/>
      <c r="W203" s="120"/>
      <c r="X203" s="120"/>
      <c r="Y203" s="120"/>
      <c r="Z203" s="120"/>
      <c r="AA203" s="120"/>
      <c r="AB203" s="120"/>
      <c r="AC203" s="120"/>
      <c r="AD203" s="120"/>
      <c r="AE203" s="120"/>
      <c r="AF203" s="120"/>
      <c r="AG203" s="120"/>
      <c r="AH203" s="120"/>
      <c r="AI203" s="120"/>
      <c r="AJ203" s="120"/>
      <c r="AK203" s="120"/>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7" t="s">
        <v>258</v>
      </c>
      <c r="E206" s="107"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9" t="str" cm="1">
        <f t="array" ref="D212:E214">_xlfn.CHOOSECOLS(MMS_PastureBeef_Methane_Equations.VEERG_4_2_1_1__1_TotalAnnualMethaneProductionFromManureManagement_Arguments(), 1, 2)</f>
        <v>N_jkl</v>
      </c>
      <c r="E212" s="110" t="str">
        <v>number of beef cattle in each time-period, class and subclass</v>
      </c>
      <c r="F212" s="112"/>
      <c r="G212" s="109" t="str" cm="1">
        <f t="array" ref="G212:H214">_xlfn.CHOOSECOLS(MMS_PastureBeef_Methane_Equations.VEERG_4_2_1_1__1_TotalAnnualMethaneProductionFromManureManagement_Arguments(), 3,4)</f>
        <v>head</v>
      </c>
      <c r="H212" s="113" t="str">
        <v>Input</v>
      </c>
      <c r="I212" s="115" t="str" cm="1">
        <f t="array" aca="1" ref="I212" ca="1">HYPERLINK(Common_InputFunctions.Utility_SourceHyperlink($D$216), $D$216)</f>
        <v>M1_Table_N_j_k_l</v>
      </c>
    </row>
    <row r="213" spans="4:34" ht="20.100000000000001" customHeight="1" x14ac:dyDescent="0.25">
      <c r="D213" s="109" t="str">
        <v>M_jklm</v>
      </c>
      <c r="E213" s="110" t="str">
        <v>methane production from manure in each time-period, class, subclass and MMS</v>
      </c>
      <c r="F213" s="112"/>
      <c r="G213" s="109" t="str">
        <v>kg/head/day</v>
      </c>
      <c r="H213" s="114" t="str">
        <v>Calculated from 4.2.1.1 (2)</v>
      </c>
      <c r="I213" s="115" t="str" cm="1">
        <f t="array" aca="1" ref="I213" ca="1">HYPERLINK(Common_InputFunctions.Utility_SourceHyperlink($D$174), $D$174)</f>
        <v>M1_Table_M_j_k_l_m</v>
      </c>
    </row>
    <row r="214" spans="4:34" ht="20.100000000000001" customHeight="1" x14ac:dyDescent="0.25">
      <c r="D214" s="109" t="str">
        <v>D_j</v>
      </c>
      <c r="E214" s="110" t="str">
        <v>number of days in each time-period for each input class</v>
      </c>
      <c r="F214" s="112"/>
      <c r="G214" s="109" t="str">
        <v>days</v>
      </c>
      <c r="H214" s="113" t="str">
        <v>Input</v>
      </c>
      <c r="I214" s="115" t="str" cm="1">
        <f t="array" aca="1" ref="I214" ca="1">HYPERLINK(Common_InputFunctions.Utility_SourceHyperlink($D$224), $D$224)</f>
        <v>M1_Table_D_j</v>
      </c>
    </row>
    <row r="215" spans="4:34" ht="20.100000000000001" customHeight="1" x14ac:dyDescent="0.25"/>
    <row r="216" spans="4:34" ht="20.100000000000001" customHeight="1" x14ac:dyDescent="0.25">
      <c r="D216" s="116" t="s">
        <v>287</v>
      </c>
      <c r="W216" s="116" t="s">
        <v>291</v>
      </c>
    </row>
    <row r="217" spans="4:34" ht="20.100000000000001" customHeight="1" x14ac:dyDescent="0.25">
      <c r="D217" s="117" t="s">
        <v>288</v>
      </c>
      <c r="W217" s="117" t="s">
        <v>292</v>
      </c>
    </row>
    <row r="218" spans="4:34" ht="20.100000000000001" customHeight="1" x14ac:dyDescent="0.25">
      <c r="D218" s="118" t="s">
        <v>78</v>
      </c>
      <c r="E218" s="119" t="s">
        <v>190</v>
      </c>
      <c r="F218" s="119" t="s">
        <v>191</v>
      </c>
      <c r="G218" s="119" t="s">
        <v>192</v>
      </c>
      <c r="H218" s="119" t="s">
        <v>193</v>
      </c>
      <c r="I218" s="119" t="s">
        <v>194</v>
      </c>
      <c r="J218" s="119" t="s">
        <v>195</v>
      </c>
      <c r="K218" s="119" t="s">
        <v>196</v>
      </c>
      <c r="L218" s="119" t="s">
        <v>197</v>
      </c>
      <c r="M218" s="119" t="s">
        <v>198</v>
      </c>
      <c r="N218" s="119" t="s">
        <v>199</v>
      </c>
      <c r="W218" s="118" t="s">
        <v>77</v>
      </c>
      <c r="X218" s="119" t="s">
        <v>190</v>
      </c>
      <c r="Y218" s="119" t="s">
        <v>191</v>
      </c>
      <c r="Z218" s="119" t="s">
        <v>192</v>
      </c>
      <c r="AA218" s="119" t="s">
        <v>193</v>
      </c>
      <c r="AB218" s="119" t="s">
        <v>194</v>
      </c>
      <c r="AC218" s="119" t="s">
        <v>195</v>
      </c>
      <c r="AD218" s="119" t="s">
        <v>196</v>
      </c>
      <c r="AE218" s="119" t="s">
        <v>197</v>
      </c>
      <c r="AF218" s="119" t="s">
        <v>198</v>
      </c>
      <c r="AG218" s="119"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6" t="s">
        <v>289</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7" t="s">
        <v>290</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8" t="s">
        <v>78</v>
      </c>
      <c r="E226" s="119" t="s">
        <v>190</v>
      </c>
      <c r="F226" s="119" t="s">
        <v>191</v>
      </c>
      <c r="G226" s="119" t="s">
        <v>192</v>
      </c>
      <c r="H226" s="119" t="s">
        <v>193</v>
      </c>
      <c r="I226" s="119" t="s">
        <v>194</v>
      </c>
      <c r="J226" s="119" t="s">
        <v>195</v>
      </c>
      <c r="K226" s="119" t="s">
        <v>196</v>
      </c>
      <c r="L226" s="119" t="s">
        <v>197</v>
      </c>
      <c r="M226" s="119" t="s">
        <v>198</v>
      </c>
      <c r="N226" s="119" t="s">
        <v>199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6" t="s">
        <v>416</v>
      </c>
      <c r="W232" s="116" t="s">
        <v>296</v>
      </c>
    </row>
    <row r="233" spans="4:34" ht="20.100000000000001" customHeight="1" x14ac:dyDescent="0.25">
      <c r="D233" s="117" t="s">
        <v>417</v>
      </c>
      <c r="W233" s="117" t="s">
        <v>297</v>
      </c>
    </row>
    <row r="234" spans="4:34" ht="20.100000000000001" customHeight="1" x14ac:dyDescent="0.25">
      <c r="D234" s="118" t="s">
        <v>403</v>
      </c>
      <c r="E234" s="118" t="s">
        <v>78</v>
      </c>
      <c r="F234" s="118" t="s">
        <v>190</v>
      </c>
      <c r="G234" s="118" t="s">
        <v>191</v>
      </c>
      <c r="H234" s="118" t="s">
        <v>192</v>
      </c>
      <c r="I234" s="118" t="s">
        <v>193</v>
      </c>
      <c r="J234" s="118" t="s">
        <v>194</v>
      </c>
      <c r="K234" s="118" t="s">
        <v>195</v>
      </c>
      <c r="L234" s="118" t="s">
        <v>196</v>
      </c>
      <c r="M234" s="118" t="s">
        <v>197</v>
      </c>
      <c r="N234" s="118" t="s">
        <v>198</v>
      </c>
      <c r="O234" s="118" t="s">
        <v>199</v>
      </c>
      <c r="W234" s="118" t="s">
        <v>77</v>
      </c>
      <c r="X234" s="119" t="s">
        <v>190</v>
      </c>
      <c r="Y234" s="119" t="s">
        <v>191</v>
      </c>
      <c r="Z234" s="119" t="s">
        <v>192</v>
      </c>
      <c r="AA234" s="119" t="s">
        <v>193</v>
      </c>
      <c r="AB234" s="119" t="s">
        <v>194</v>
      </c>
      <c r="AC234" s="119" t="s">
        <v>195</v>
      </c>
      <c r="AD234" s="119" t="s">
        <v>196</v>
      </c>
      <c r="AE234" s="119" t="s">
        <v>197</v>
      </c>
      <c r="AF234" s="119" t="s">
        <v>198</v>
      </c>
      <c r="AG234" s="119" t="s">
        <v>199</v>
      </c>
      <c r="AH234" s="26"/>
    </row>
    <row r="235" spans="4:34" ht="20.100000000000001" customHeight="1" x14ac:dyDescent="0.25">
      <c r="D235" s="25" t="str">
        <f>'Input - Pasture Beef'!$D$180</f>
        <v>Pasture range and paddock</v>
      </c>
      <c r="E235" s="25" t="s">
        <v>200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415</v>
      </c>
    </row>
    <row r="236" spans="4:34" ht="20.100000000000001" customHeight="1" x14ac:dyDescent="0.25">
      <c r="D236" s="25" t="str">
        <f>'Input - Pasture Beef'!$D$180</f>
        <v>Pasture range and paddock</v>
      </c>
      <c r="E236" s="25" t="s">
        <v>201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415</v>
      </c>
    </row>
    <row r="237" spans="4:34" ht="20.100000000000001" customHeight="1" x14ac:dyDescent="0.25">
      <c r="D237" s="25" t="str">
        <f>'Input - Pasture Beef'!$D$180</f>
        <v>Pasture range and paddock</v>
      </c>
      <c r="E237" s="25" t="s">
        <v>202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415</v>
      </c>
    </row>
    <row r="238" spans="4:34" ht="20.100000000000001" customHeight="1" x14ac:dyDescent="0.25">
      <c r="D238" s="25" t="str">
        <f>'Input - Pasture Beef'!$D$180</f>
        <v>Pasture range and paddock</v>
      </c>
      <c r="E238" s="25" t="s">
        <v>203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415</v>
      </c>
    </row>
    <row r="239" spans="4:34" ht="20.100000000000001" customHeight="1" x14ac:dyDescent="0.25">
      <c r="D239" s="25" t="str">
        <f>'Input - Pasture Beef'!$D$181</f>
        <v>Anaerobic lagoon</v>
      </c>
      <c r="E239" s="25" t="s">
        <v>200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415</v>
      </c>
    </row>
    <row r="240" spans="4:34" ht="20.100000000000001" customHeight="1" x14ac:dyDescent="0.25">
      <c r="D240" s="25" t="str">
        <f>'Input - Pasture Beef'!$D$181</f>
        <v>Anaerobic lagoon</v>
      </c>
      <c r="E240" s="25" t="s">
        <v>201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415</v>
      </c>
    </row>
    <row r="241" spans="4:36" ht="20.100000000000001" customHeight="1" x14ac:dyDescent="0.25">
      <c r="D241" s="25" t="str">
        <f>'Input - Pasture Beef'!$D$181</f>
        <v>Anaerobic lagoon</v>
      </c>
      <c r="E241" s="25" t="s">
        <v>202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415</v>
      </c>
    </row>
    <row r="242" spans="4:36" ht="20.100000000000001" customHeight="1" x14ac:dyDescent="0.25">
      <c r="D242" s="25" t="str">
        <f>'Input - Pasture Beef'!$D$181</f>
        <v>Anaerobic lagoon</v>
      </c>
      <c r="E242" s="25" t="s">
        <v>203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415</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415</v>
      </c>
    </row>
    <row r="244" spans="4:36" ht="20.100000000000001" customHeight="1" x14ac:dyDescent="0.25">
      <c r="D244" s="121" t="s">
        <v>295</v>
      </c>
      <c r="E244" s="122">
        <f ca="1">SUM(F235:O242)</f>
        <v>0.88628531326724402</v>
      </c>
      <c r="F244" s="123"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415</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415</v>
      </c>
    </row>
    <row r="246" spans="4:36" ht="20.100000000000001" customHeight="1" x14ac:dyDescent="0.25">
      <c r="D246" s="124" t="str" cm="1">
        <f t="array" ref="D246:E247">Common_Equations.Common_ConvertCH4ToCO2e_Arguments()</f>
        <v>ECH4</v>
      </c>
      <c r="E246" s="125" t="str">
        <v>Methane emissions (t CH4)</v>
      </c>
      <c r="F246" s="126"/>
      <c r="G246" s="25">
        <f ca="1">E244</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415</v>
      </c>
    </row>
    <row r="247" spans="4:36" ht="20.100000000000001" customHeight="1" x14ac:dyDescent="0.25">
      <c r="D247" s="124" t="str">
        <v>GWPCH4</v>
      </c>
      <c r="E247" s="125" t="str">
        <v>Global warming potential for methane (t CO2-e / t CH4)</v>
      </c>
      <c r="F247" s="126"/>
      <c r="G247" s="25">
        <f>Common_InputFunctions.Utility_LookupValueInTableNumber("CH4",Table_GWPData[Gas],Table_GWPData[CO2-e factor])</f>
        <v>28</v>
      </c>
    </row>
    <row r="248" spans="4:36" ht="20.100000000000001" customHeight="1" x14ac:dyDescent="0.25">
      <c r="W248" s="116" t="s">
        <v>418</v>
      </c>
    </row>
    <row r="249" spans="4:36" ht="20.100000000000001" customHeight="1" x14ac:dyDescent="0.25">
      <c r="D249" s="120" t="s">
        <v>298</v>
      </c>
      <c r="E249" s="120" cm="1">
        <f t="array" aca="1" ref="E249" ca="1">Common_Equations.Common_ConvertN2OToCO2e(G246,G247)</f>
        <v>24.815988771482832</v>
      </c>
      <c r="F249" s="127" t="str" cm="1">
        <f t="array" ref="F249">Common_Equations.Common_ConvertN2OToCO2e_Unit()</f>
        <v>t CO2e</v>
      </c>
      <c r="W249" s="117" t="s">
        <v>419</v>
      </c>
    </row>
    <row r="250" spans="4:36" ht="20.100000000000001" customHeight="1" x14ac:dyDescent="0.25">
      <c r="W250" s="118" t="s">
        <v>403</v>
      </c>
      <c r="X250" s="118" t="s">
        <v>77</v>
      </c>
      <c r="Y250" s="118" t="s">
        <v>190</v>
      </c>
      <c r="Z250" s="118" t="s">
        <v>191</v>
      </c>
      <c r="AA250" s="118" t="s">
        <v>192</v>
      </c>
      <c r="AB250" s="118" t="s">
        <v>193</v>
      </c>
      <c r="AC250" s="118" t="s">
        <v>194</v>
      </c>
      <c r="AD250" s="118" t="s">
        <v>195</v>
      </c>
      <c r="AE250" s="118" t="s">
        <v>196</v>
      </c>
      <c r="AF250" s="118" t="s">
        <v>197</v>
      </c>
      <c r="AG250" s="118" t="s">
        <v>198</v>
      </c>
      <c r="AH250" s="118" t="s">
        <v>199</v>
      </c>
    </row>
    <row r="251" spans="4:36" ht="20.100000000000001" customHeight="1" x14ac:dyDescent="0.25">
      <c r="W251" s="25" t="str">
        <f>'Input - Pasture Beef'!$D$180</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21" t="s">
        <v>295</v>
      </c>
      <c r="X276" s="122">
        <f ca="1">SUM(Y251:AH274)</f>
        <v>0.89029635334910784</v>
      </c>
      <c r="Y276" s="123">
        <f ca="1">X242</f>
        <v>31</v>
      </c>
    </row>
    <row r="278" spans="23:36" x14ac:dyDescent="0.25">
      <c r="W278" s="124" t="str" cm="1">
        <f t="array" ref="W278:X279">Common_Equations.Common_ConvertCH4ToCO2e_Arguments()</f>
        <v>ECH4</v>
      </c>
      <c r="X278" s="125" t="str">
        <v>Methane emissions (t CH4)</v>
      </c>
      <c r="Y278" s="126"/>
      <c r="Z278" s="25">
        <f ca="1">X276</f>
        <v>0.89029635334910784</v>
      </c>
    </row>
    <row r="279" spans="23:36" x14ac:dyDescent="0.25">
      <c r="W279" s="124" t="str">
        <v>GWPCH4</v>
      </c>
      <c r="X279" s="125" t="str">
        <v>Global warming potential for methane (t CO2-e / t CH4)</v>
      </c>
      <c r="Y279" s="126"/>
      <c r="Z279" s="25">
        <f>Common_InputFunctions.Utility_LookupValueInTableNumber("CH4",Table_GWPData[Gas],Table_GWPData[CO2-e factor])</f>
        <v>28</v>
      </c>
    </row>
    <row r="281" spans="23:36" ht="18.75" x14ac:dyDescent="0.25">
      <c r="W281" s="120" t="s">
        <v>298</v>
      </c>
      <c r="X281" s="120" cm="1">
        <f t="array" aca="1" ref="X281" ca="1">Common_Equations.Common_ConvertN2OToCO2e(Z278,Z279)</f>
        <v>24.928297893775021</v>
      </c>
      <c r="Y281" s="127"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D445F0D9-3537-48CC-8C9D-4BAD1FC178BD}"/>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5BEB-F51B-4AFD-9B7A-D965774B1AAC}">
  <dimension ref="A1:AI291"/>
  <sheetViews>
    <sheetView showGridLines="0" topLeftCell="P240"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7" t="s">
        <v>258</v>
      </c>
      <c r="E7" s="107"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260</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132</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Pasture'!A1", "Pasture")</f>
        <v>Pasture</v>
      </c>
      <c r="D13" s="109" t="str" cm="1">
        <f t="array" ref="D13:E15">_xlfn.CHOOSECOLS(MMS_PastureBeef_Soil_N2ODirect_Equations.VEERG_4_2_1_3__7_RelativeSize_Arguments(),1,2)</f>
        <v>W_jkl</v>
      </c>
      <c r="E13" s="109" t="str">
        <v>liveweight (kg)</v>
      </c>
      <c r="F13" s="109" t="str" cm="1">
        <f t="array" ref="F13:G15">_xlfn.CHOOSECOLS(MMS_PastureBeef_Soil_N2ODirect_Equations.VEERG_4_2_1_3__7_RelativeSize_Arguments(),3,4)</f>
        <v>kg</v>
      </c>
      <c r="G13" s="113" t="str">
        <v>Input</v>
      </c>
      <c r="H13" s="115" t="str" cm="1">
        <f t="array" aca="1" ref="H13" ca="1">HYPERLINK(Common_InputFunctions.Utility_SourceHyperlink(D17), D17)</f>
        <v>M1_Table_W_j_k_l</v>
      </c>
    </row>
    <row r="14" spans="1:35" ht="20.100000000000001" customHeight="1" x14ac:dyDescent="0.25">
      <c r="A14" s="5" t="str">
        <f>HYPERLINK("#'Input - Fertiliser'!A1", "Fertiliser")</f>
        <v>Fertiliser</v>
      </c>
      <c r="D14" s="109" t="str">
        <v>SRW_k</v>
      </c>
      <c r="E14" s="109" t="str">
        <v>standard reference weight (kg)</v>
      </c>
      <c r="F14" s="109" t="str">
        <v>kg</v>
      </c>
      <c r="G14" s="114" t="str">
        <v>Constant</v>
      </c>
      <c r="H14" s="115" t="str" cm="1">
        <f t="array" aca="1" ref="H14" ca="1">HYPERLINK(Common_InputFunctions.Utility_SourceHyperlink(D25), D25)</f>
        <v>Table_SRW_k</v>
      </c>
    </row>
    <row r="15" spans="1:35" ht="20.100000000000001" customHeight="1" x14ac:dyDescent="0.25">
      <c r="A15" s="5" t="str">
        <f>HYPERLINK("#'Input - Fuel'!A1", "Fuel")</f>
        <v>Fuel</v>
      </c>
      <c r="D15" s="109" t="str">
        <v>i</v>
      </c>
      <c r="E15" s="109" t="str">
        <v>state</v>
      </c>
      <c r="F15" s="109" t="str">
        <v/>
      </c>
      <c r="G15" s="113" t="str">
        <v>Input</v>
      </c>
      <c r="H15" s="109" t="str">
        <f>X_Cell_Site_State</f>
        <v>Western Australia</v>
      </c>
    </row>
    <row r="16" spans="1:35" ht="20.100000000000001" customHeight="1" x14ac:dyDescent="0.25">
      <c r="A16" s="5" t="str">
        <f>HYPERLINK("#'Input - Electricity'!A1", "Electricity")</f>
        <v>Electricity</v>
      </c>
    </row>
    <row r="17" spans="1:34" ht="20.100000000000001" customHeight="1" x14ac:dyDescent="0.25">
      <c r="A17" s="5" t="str">
        <f>HYPERLINK("#'Input - Farm Inputs'!A1", "Farm Inputs")</f>
        <v>Farm Inputs</v>
      </c>
      <c r="D17" s="116" t="s">
        <v>273</v>
      </c>
      <c r="U17" s="116" t="s">
        <v>421</v>
      </c>
    </row>
    <row r="18" spans="1:34" ht="20.100000000000001" customHeight="1" x14ac:dyDescent="0.25">
      <c r="A18" s="5" t="str">
        <f>HYPERLINK("#'Input - Freight'!A1", "Freight")</f>
        <v>Freight</v>
      </c>
      <c r="D18" s="117" t="s">
        <v>274</v>
      </c>
      <c r="U18" s="117" t="s">
        <v>272</v>
      </c>
    </row>
    <row r="19" spans="1:34" ht="20.100000000000001" customHeight="1" x14ac:dyDescent="0.25">
      <c r="A19" s="5" t="str">
        <f>HYPERLINK("#'Input - Manure sent off-site'!A1", "Manure sent off-site")</f>
        <v>Manure sent off-site</v>
      </c>
      <c r="D19" s="118" t="s">
        <v>78</v>
      </c>
      <c r="E19" s="119" t="s">
        <v>190</v>
      </c>
      <c r="F19" s="119" t="s">
        <v>191</v>
      </c>
      <c r="G19" s="119" t="s">
        <v>192</v>
      </c>
      <c r="H19" s="119" t="s">
        <v>193</v>
      </c>
      <c r="I19" s="119" t="s">
        <v>194</v>
      </c>
      <c r="J19" s="119" t="s">
        <v>195</v>
      </c>
      <c r="K19" s="119" t="s">
        <v>196</v>
      </c>
      <c r="L19" s="119" t="s">
        <v>197</v>
      </c>
      <c r="M19" s="119" t="s">
        <v>198</v>
      </c>
      <c r="N19" s="119" t="s">
        <v>199</v>
      </c>
      <c r="U19" s="118" t="s">
        <v>77</v>
      </c>
      <c r="V19" s="119" t="s">
        <v>190</v>
      </c>
      <c r="W19" s="119" t="s">
        <v>191</v>
      </c>
      <c r="X19" s="119" t="s">
        <v>192</v>
      </c>
      <c r="Y19" s="119" t="s">
        <v>193</v>
      </c>
      <c r="Z19" s="119" t="s">
        <v>194</v>
      </c>
      <c r="AA19" s="119" t="s">
        <v>195</v>
      </c>
      <c r="AB19" s="119" t="s">
        <v>196</v>
      </c>
      <c r="AC19" s="119" t="s">
        <v>197</v>
      </c>
      <c r="AD19" s="119" t="s">
        <v>198</v>
      </c>
      <c r="AE19" s="119" t="s">
        <v>199</v>
      </c>
      <c r="AF19" s="26"/>
      <c r="AG19" s="26"/>
      <c r="AH19" s="26"/>
    </row>
    <row r="20" spans="1:34" ht="20.100000000000001" customHeight="1" x14ac:dyDescent="0.25">
      <c r="A20" s="5" t="str">
        <f>HYPERLINK("#'Input - Solid waste'!A1", "Solid waste")</f>
        <v>Solid waste</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209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209</v>
      </c>
      <c r="AG20" s="26"/>
      <c r="AH20" s="26"/>
    </row>
    <row r="21" spans="1:34" ht="20.100000000000001" customHeight="1" x14ac:dyDescent="0.25">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209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209</v>
      </c>
      <c r="AG21" s="26"/>
      <c r="AH21" s="26"/>
    </row>
    <row r="22" spans="1:34" ht="20.100000000000001" customHeight="1" x14ac:dyDescent="0.25">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209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209</v>
      </c>
      <c r="AG22" s="26"/>
      <c r="AH22" s="26"/>
    </row>
    <row r="23" spans="1:34" ht="20.100000000000001" customHeight="1" x14ac:dyDescent="0.25">
      <c r="A23" s="6" t="s">
        <v>2</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209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209</v>
      </c>
      <c r="AG23" s="26"/>
      <c r="AH23" s="26"/>
    </row>
    <row r="24" spans="1:34" ht="20.100000000000001" customHeight="1" x14ac:dyDescent="0.25">
      <c r="A24" s="5" t="str">
        <f>HYPERLINK("#'3.2.1.1-2 Enteric Methane'!A1", "3.2.1.1-2 Enteric methane")</f>
        <v>3.2.1.1-2 Enteric methane</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209</v>
      </c>
      <c r="AG24" s="26"/>
      <c r="AH24" s="26"/>
    </row>
    <row r="25" spans="1:34" ht="20.100000000000001" customHeight="1" x14ac:dyDescent="0.25">
      <c r="A25" s="5" t="str">
        <f>HYPERLINK("#'4.2.1.1-2 Methane'!A1", "4.2.1.1-2 Manure methane")</f>
        <v>4.2.1.1-2 Manure methane</v>
      </c>
      <c r="D25" s="116" t="s">
        <v>422</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209</v>
      </c>
      <c r="AG25" s="26"/>
      <c r="AH25" s="26"/>
    </row>
    <row r="26" spans="1:34" ht="20.100000000000001" customHeight="1" x14ac:dyDescent="0.25">
      <c r="A26" s="108" t="str">
        <f>HYPERLINK("#'4.2.1.3-4 Soil direct N20'!A1", "4.2.1.3-4 Soil direct N2O")</f>
        <v>4.2.1.3-4 Soil direct N2O</v>
      </c>
      <c r="D26" s="117" t="s">
        <v>423</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209</v>
      </c>
      <c r="AG26" s="26"/>
      <c r="AH26" s="26"/>
    </row>
    <row r="27" spans="1:34" ht="20.100000000000001" customHeight="1" x14ac:dyDescent="0.25">
      <c r="A27" s="5" t="str">
        <f>HYPERLINK("#'4.2.1.5-6 Soil Atmos Dep'!A1", "4.2.1.5-6 Soil atm. deposition")</f>
        <v>4.2.1.5-6 Soil atm. deposition</v>
      </c>
      <c r="D27" s="118" t="s">
        <v>190</v>
      </c>
      <c r="E27" s="118" t="s">
        <v>191</v>
      </c>
      <c r="F27" s="118" t="s">
        <v>192</v>
      </c>
      <c r="G27" s="118" t="s">
        <v>193</v>
      </c>
      <c r="H27" s="118" t="s">
        <v>194</v>
      </c>
      <c r="I27" s="118" t="s">
        <v>195</v>
      </c>
      <c r="J27" s="118" t="s">
        <v>196</v>
      </c>
      <c r="K27" s="118" t="s">
        <v>197</v>
      </c>
      <c r="L27" s="118" t="s">
        <v>198</v>
      </c>
      <c r="M27" s="118" t="s">
        <v>199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209</v>
      </c>
      <c r="AG27" s="26"/>
      <c r="AH27" s="26"/>
    </row>
    <row r="28" spans="1:34" ht="20.100000000000001" customHeight="1" x14ac:dyDescent="0.25">
      <c r="A28" s="5" t="str">
        <f>HYPERLINK("#'4.2.1.7-8 Soil leach runoff'!A1", "4.2.1.7-8 Soil leach &amp; runoff")</f>
        <v>4.2.1.7-8 Soil leach &amp; runoff</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209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209</v>
      </c>
      <c r="AG28" s="26"/>
      <c r="AH28" s="26"/>
    </row>
    <row r="29" spans="1:34" ht="20.100000000000001" customHeight="1" x14ac:dyDescent="0.25">
      <c r="A29" s="5" t="str">
        <f>HYPERLINK("#'5.1.1.1-2 Inorganic fert N2O'!A1", "5.1.1.1-2 Inorganic fert N2O")</f>
        <v>5.1.1.1-2 Inorganic fert N2O</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209</v>
      </c>
      <c r="AG29" s="26"/>
      <c r="AH29" s="26"/>
    </row>
    <row r="30" spans="1:34" ht="20.100000000000001" customHeight="1" x14ac:dyDescent="0.25">
      <c r="A30" s="5" t="str">
        <f>HYPERLINK("#'5.1.1.3-4 Inorganic fert CO2'!A1", "5.1.1.3-4 Inorganic fert CO2")</f>
        <v>5.1.1.3-4 Inorganic fert CO2</v>
      </c>
      <c r="D30" s="116" t="s">
        <v>424</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209</v>
      </c>
      <c r="AG30" s="26"/>
      <c r="AH30" s="26"/>
    </row>
    <row r="31" spans="1:34" ht="20.100000000000001" customHeight="1" x14ac:dyDescent="0.25">
      <c r="A31" s="5" t="str">
        <f>HYPERLINK("#'5.2.1.1-2 Organic Fert N2O'!A1", "5.2.1.1-2 Organic fert N2O")</f>
        <v>5.2.1.1-2 Organic fert N2O</v>
      </c>
      <c r="D31" s="117" t="s">
        <v>425</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209</v>
      </c>
      <c r="AG31" s="26"/>
      <c r="AH31" s="26"/>
    </row>
    <row r="32" spans="1:34" ht="20.100000000000001" customHeight="1" x14ac:dyDescent="0.25">
      <c r="A32" s="5" t="str">
        <f>HYPERLINK("#'5.3.1.1-2 Lime CO2'!A1", "5.3.1.1-2 Lime CO2")</f>
        <v>5.3.1.1-2 Lime CO2</v>
      </c>
      <c r="D32" s="118" t="s">
        <v>78</v>
      </c>
      <c r="E32" s="118" t="s">
        <v>190</v>
      </c>
      <c r="F32" s="118" t="s">
        <v>191</v>
      </c>
      <c r="G32" s="118" t="s">
        <v>192</v>
      </c>
      <c r="H32" s="118" t="s">
        <v>193</v>
      </c>
      <c r="I32" s="118" t="s">
        <v>194</v>
      </c>
      <c r="J32" s="118" t="s">
        <v>195</v>
      </c>
      <c r="K32" s="118" t="s">
        <v>196</v>
      </c>
      <c r="L32" s="118" t="s">
        <v>197</v>
      </c>
      <c r="M32" s="118" t="s">
        <v>198</v>
      </c>
      <c r="N32" s="118" t="s">
        <v>199</v>
      </c>
    </row>
    <row r="33" spans="1:34" ht="20.100000000000001" customHeight="1" x14ac:dyDescent="0.25">
      <c r="A33" s="5" t="str">
        <f>HYPERLINK("#'5.4.1.1-4 Atmos deposition'!A1", "5.4.1.1-4 Atmos. deposition")</f>
        <v>5.4.1.1-4 Atmos. deposition</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6" t="s">
        <v>426</v>
      </c>
    </row>
    <row r="34" spans="1:34" ht="20.100000000000001" customHeight="1" x14ac:dyDescent="0.25">
      <c r="A34" s="5" t="str">
        <f>HYPERLINK("#'5.5.1.1-2 Leaching and runoff'!A1", "5.5.1.1-2 Leaching &amp; runoff")</f>
        <v>5.5.1.1-2 Leaching &amp; runoff</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7" t="s">
        <v>427</v>
      </c>
    </row>
    <row r="35" spans="1:34" ht="20.100000000000001" customHeight="1" x14ac:dyDescent="0.25">
      <c r="A35" s="5" t="str">
        <f>HYPERLINK("#'6.2.1.1-2 Pasture residue N2O'!A1", "6.2.1.1-2 Pasture residue N2O")</f>
        <v>6.2.1.1-2 Pasture residue N2O</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8" t="s">
        <v>77</v>
      </c>
      <c r="V35" s="118" t="s">
        <v>190</v>
      </c>
      <c r="W35" s="118" t="s">
        <v>191</v>
      </c>
      <c r="X35" s="118" t="s">
        <v>192</v>
      </c>
      <c r="Y35" s="118" t="s">
        <v>193</v>
      </c>
      <c r="Z35" s="118" t="s">
        <v>194</v>
      </c>
      <c r="AA35" s="118" t="s">
        <v>195</v>
      </c>
      <c r="AB35" s="118" t="s">
        <v>196</v>
      </c>
      <c r="AC35" s="118" t="s">
        <v>197</v>
      </c>
      <c r="AD35" s="118" t="s">
        <v>198</v>
      </c>
      <c r="AE35" s="118" t="s">
        <v>199</v>
      </c>
      <c r="AF35" s="26"/>
      <c r="AG35" s="26"/>
      <c r="AH35" s="26"/>
    </row>
    <row r="36" spans="1:34" ht="20.100000000000001" customHeight="1" x14ac:dyDescent="0.25">
      <c r="A36" s="5" t="str">
        <f>HYPERLINK("#'6.3.1.1-2 Leach runoff pasture'!A1", "6.3.1.1-2 Leach &amp; runoff (pasture)")</f>
        <v>6.3.1.1-2 Leach &amp; runoff (pasture)</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HYPERLINK("#'8.1.1.1-2 Transport fuel'!A1", "8.1.1.1-2 Transport fuel")</f>
        <v>8.1.1.1-2 Transport fuel</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HYPERLINK("#'8.2.1.1-2 Stationary fuel'!A1", "8.2.1.1-2 Stationary fuel")</f>
        <v>8.2.1.1-2 Stationary fuel</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HYPERLINK("#'14.1.1-2 Purchased electricity'!A1", "14.1.1-2 Purchased electricity")</f>
        <v>14.1.1-2 Purchased electricity</v>
      </c>
      <c r="C39" s="120"/>
      <c r="D39" s="120"/>
      <c r="E39" s="120"/>
      <c r="F39" s="120"/>
      <c r="G39" s="120"/>
      <c r="H39" s="120"/>
      <c r="I39" s="120"/>
      <c r="J39" s="120"/>
      <c r="K39" s="120"/>
      <c r="L39" s="120"/>
      <c r="M39" s="120"/>
      <c r="N39" s="120"/>
      <c r="O39" s="120"/>
      <c r="P39" s="120"/>
      <c r="Q39" s="120"/>
      <c r="R39" s="120"/>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HYPERLINK("#'15 Scope 3'!A1", "15 Scope 3")</f>
        <v>15 Scope 3</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HYPERLINK("#'Calcs - Manure sent off-site'!A1", "Calcs - Manure sent off-site")</f>
        <v>Calcs - Manure sent off-site</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HYPERLINK("#'10.1.1-2 Solid waste treatment'!A1", "10.1.1-2 Solid waste treatment")</f>
        <v>10.1.1-2 Solid waste treatment</v>
      </c>
      <c r="D42" s="107" t="s">
        <v>258</v>
      </c>
      <c r="E42" s="107"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94" t="s">
        <v>1</v>
      </c>
      <c r="D45" s="88" t="s">
        <v>260</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HYPERLINK("#'Constants - Pasture Beef'!A1", "Constants - Pasture Beef")</f>
        <v>Constants - Pasture Beef</v>
      </c>
      <c r="D46" s="88" t="s">
        <v>132</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A47" s="5" t="str">
        <f>HYPERLINK("#'Constants - Ag Residue'!A1", "Constants - Ag residue")</f>
        <v>Constants - Ag residue</v>
      </c>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5" t="str">
        <f>HYPERLINK("#'Constants - Common Livestock'!A1", "Constants - Common Livestock")</f>
        <v>Constants - Common Livestock</v>
      </c>
      <c r="D48" s="109" t="str" cm="1">
        <f t="array" ref="D48:E49">_xlfn.CHOOSECOLS(MMS_PastureBeef_Soil_N2ODirect_Equations.VEERG_4_2_1_3__6_IntakeRelativeToMaintenance_Arguments(),1,2)</f>
        <v>I_jkl</v>
      </c>
      <c r="E48" s="110" t="str">
        <v>dry matter intake as calculated in Chapter 3 Section 3.2.1 (kg DM/head/day)</v>
      </c>
      <c r="F48" s="112"/>
      <c r="G48" s="109" t="str" cm="1">
        <f t="array" ref="G48:H49">_xlfn.CHOOSECOLS(MMS_PastureBeef_Soil_N2ODirect_Equations.VEERG_4_2_1_3__6_IntakeRelativeToMaintenance_Arguments(),3,4)</f>
        <v>kg DM/head/day</v>
      </c>
      <c r="H48" s="114" t="str">
        <v>Calculated from 3.2.1.1 (3)</v>
      </c>
      <c r="I48" s="115" t="str" cm="1">
        <f t="array" aca="1" ref="I48" ca="1">HYPERLINK(Common_InputFunctions.Utility_SourceHyperlink($D$51), $D$51)</f>
        <v>M1_Table_I_j_k_l</v>
      </c>
    </row>
    <row r="49" spans="1:35" ht="20.100000000000001" customHeight="1" x14ac:dyDescent="0.25">
      <c r="A49" s="5" t="str">
        <f>HYPERLINK("#'Constants - Electricity'!A1", "Constants - Electricity")</f>
        <v>Constants - Electricity</v>
      </c>
      <c r="D49" s="109" t="str">
        <v>W_jkl</v>
      </c>
      <c r="E49" s="110" t="str">
        <v>liveweight (kg/head)</v>
      </c>
      <c r="F49" s="112"/>
      <c r="G49" s="109" t="str">
        <v>kg/head</v>
      </c>
      <c r="H49" s="113" t="str">
        <v>Input</v>
      </c>
      <c r="I49" s="115" t="str" cm="1">
        <f t="array" aca="1" ref="I49" ca="1">HYPERLINK(Common_InputFunctions.Utility_SourceHyperlink($D$17), $D$17)</f>
        <v>M1_Table_W_j_k_l</v>
      </c>
    </row>
    <row r="50" spans="1:35" ht="20.100000000000001" customHeight="1" x14ac:dyDescent="0.25">
      <c r="A50" s="5" t="str">
        <f>HYPERLINK("#'Constants - Fertiliser'!A1", "Constants - Fertiliser")</f>
        <v>Constants - Fertiliser</v>
      </c>
      <c r="T50" s="120"/>
      <c r="U50" s="120"/>
      <c r="V50" s="120"/>
      <c r="W50" s="120"/>
      <c r="X50" s="120"/>
      <c r="Y50" s="120"/>
      <c r="Z50" s="120"/>
      <c r="AA50" s="120"/>
      <c r="AB50" s="120"/>
      <c r="AC50" s="120"/>
      <c r="AD50" s="120"/>
      <c r="AE50" s="120"/>
      <c r="AF50" s="120"/>
      <c r="AG50" s="120"/>
      <c r="AH50" s="120"/>
      <c r="AI50" s="120"/>
    </row>
    <row r="51" spans="1:35" ht="20.100000000000001" customHeight="1" x14ac:dyDescent="0.25">
      <c r="A51" s="5" t="str">
        <f>HYPERLINK("#'Constants - Fuel'!A1", "Constants - Fuel")</f>
        <v>Constants - Fuel</v>
      </c>
      <c r="D51" s="116" t="s">
        <v>279</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Scope 3'!A1", "Constants - Scope 3")</f>
        <v>Constants - Scope 3</v>
      </c>
      <c r="D52" s="117" t="s">
        <v>280</v>
      </c>
    </row>
    <row r="53" spans="1:35" ht="20.100000000000001" customHeight="1" x14ac:dyDescent="0.25">
      <c r="A53" s="5" t="str">
        <f>HYPERLINK("#'Constants - Common'!A1", "Constants - Common")</f>
        <v>Constants - Common</v>
      </c>
      <c r="D53" s="118" t="s">
        <v>78</v>
      </c>
      <c r="E53" s="118" t="s">
        <v>190</v>
      </c>
      <c r="F53" s="118" t="s">
        <v>191</v>
      </c>
      <c r="G53" s="118" t="s">
        <v>192</v>
      </c>
      <c r="H53" s="118" t="s">
        <v>193</v>
      </c>
      <c r="I53" s="118" t="s">
        <v>194</v>
      </c>
      <c r="J53" s="118" t="s">
        <v>195</v>
      </c>
      <c r="K53" s="118" t="s">
        <v>196</v>
      </c>
      <c r="L53" s="118" t="s">
        <v>197</v>
      </c>
      <c r="M53" s="118" t="s">
        <v>198</v>
      </c>
      <c r="N53" s="118" t="s">
        <v>199</v>
      </c>
      <c r="U53" s="116" t="s">
        <v>281</v>
      </c>
    </row>
    <row r="54" spans="1:35" ht="20.100000000000001" customHeight="1" x14ac:dyDescent="0.25">
      <c r="A54" s="5" t="str">
        <f>HYPERLINK("#'Acknowledgements'!A1", "Acknowledgements")</f>
        <v>Acknowledgements</v>
      </c>
      <c r="D54" s="25" t="s">
        <v>200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7" t="s">
        <v>282</v>
      </c>
    </row>
    <row r="55" spans="1:35" ht="20.100000000000001" customHeight="1" x14ac:dyDescent="0.25">
      <c r="A55" s="5" t="str">
        <f>HYPERLINK("#'Constants - Solid Waste'!A1", "Constants - Solid Waste")</f>
        <v>Constants - Solid Waste</v>
      </c>
      <c r="D55" s="25" t="s">
        <v>201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8" t="s">
        <v>77</v>
      </c>
      <c r="V55" s="118" t="s">
        <v>190</v>
      </c>
      <c r="W55" s="118" t="s">
        <v>191</v>
      </c>
      <c r="X55" s="118" t="s">
        <v>192</v>
      </c>
      <c r="Y55" s="118" t="s">
        <v>193</v>
      </c>
      <c r="Z55" s="118" t="s">
        <v>194</v>
      </c>
      <c r="AA55" s="118" t="s">
        <v>195</v>
      </c>
      <c r="AB55" s="118" t="s">
        <v>196</v>
      </c>
      <c r="AC55" s="118" t="s">
        <v>197</v>
      </c>
      <c r="AD55" s="118" t="s">
        <v>198</v>
      </c>
      <c r="AE55" s="118" t="s">
        <v>199</v>
      </c>
    </row>
    <row r="56" spans="1:35" ht="20.100000000000001" customHeight="1" x14ac:dyDescent="0.25">
      <c r="D56" s="25" t="s">
        <v>202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D57" s="25" t="s">
        <v>203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16" t="s">
        <v>428</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7" t="s">
        <v>429</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8" t="s">
        <v>78</v>
      </c>
      <c r="E61" s="118" t="s">
        <v>190</v>
      </c>
      <c r="F61" s="118" t="s">
        <v>191</v>
      </c>
      <c r="G61" s="118" t="s">
        <v>192</v>
      </c>
      <c r="H61" s="118" t="s">
        <v>193</v>
      </c>
      <c r="I61" s="118" t="s">
        <v>194</v>
      </c>
      <c r="J61" s="118" t="s">
        <v>195</v>
      </c>
      <c r="K61" s="118" t="s">
        <v>196</v>
      </c>
      <c r="L61" s="118" t="s">
        <v>197</v>
      </c>
      <c r="M61" s="118" t="s">
        <v>198</v>
      </c>
      <c r="N61" s="118" t="s">
        <v>199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200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201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202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203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20"/>
      <c r="D68" s="120"/>
      <c r="E68" s="120"/>
      <c r="F68" s="120"/>
      <c r="G68" s="120"/>
      <c r="H68" s="120"/>
      <c r="I68" s="120"/>
      <c r="J68" s="120"/>
      <c r="K68" s="120"/>
      <c r="L68" s="120"/>
      <c r="M68" s="120"/>
      <c r="N68" s="120"/>
      <c r="O68" s="120"/>
      <c r="P68" s="120"/>
      <c r="Q68" s="120"/>
      <c r="R68" s="120"/>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6" t="s">
        <v>430</v>
      </c>
    </row>
    <row r="70" spans="3:34" ht="20.100000000000001" customHeight="1" x14ac:dyDescent="0.25">
      <c r="D70" s="27" t="str" cm="1">
        <f t="array" ref="D70">MMS_PastureBeef_Soil_N2ODirect_Equations.VEERG_4_2_1_3__5_MilkProductionForCalvingSeason_Source()</f>
        <v>VEERG 2026: 4.2.1.3, Equation (5)</v>
      </c>
      <c r="U70" s="117" t="s">
        <v>431</v>
      </c>
    </row>
    <row r="71" spans="3:34" ht="20.100000000000001" customHeight="1" x14ac:dyDescent="0.25">
      <c r="D71" s="36"/>
      <c r="U71" s="118" t="s">
        <v>77</v>
      </c>
      <c r="V71" s="118" t="s">
        <v>190</v>
      </c>
      <c r="W71" s="118" t="s">
        <v>191</v>
      </c>
      <c r="X71" s="118" t="s">
        <v>192</v>
      </c>
      <c r="Y71" s="118" t="s">
        <v>193</v>
      </c>
      <c r="Z71" s="118" t="s">
        <v>194</v>
      </c>
      <c r="AA71" s="118" t="s">
        <v>195</v>
      </c>
      <c r="AB71" s="118" t="s">
        <v>196</v>
      </c>
      <c r="AC71" s="118" t="s">
        <v>197</v>
      </c>
      <c r="AD71" s="118" t="s">
        <v>198</v>
      </c>
      <c r="AE71" s="118" t="s">
        <v>199</v>
      </c>
    </row>
    <row r="72" spans="3:34" ht="20.100000000000001" customHeight="1" x14ac:dyDescent="0.25">
      <c r="D72" s="107" t="s">
        <v>258</v>
      </c>
      <c r="E72" s="107" t="s">
        <v>432</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9" t="str" cm="1">
        <f t="array" ref="D78:E82">_xlfn.CHOOSECOLS(MMS_PastureBeef_Soil_N2ODirect_Equations.VEERG_4_2_1_3__5_MilkProductionForCalvingSeason_ArgumentsVariation(),1,2)</f>
        <v>LC_jk5curr</v>
      </c>
      <c r="E78" s="110" t="str">
        <v>proportion of cows greater than 2 years lactating for the season of calving</v>
      </c>
      <c r="F78" s="112"/>
      <c r="G78" s="109" t="str" cm="1">
        <f t="array" ref="G78:H82">_xlfn.CHOOSECOLS(MMS_PastureBeef_Soil_N2ODirect_Equations.VEERG_4_2_1_3__5_MilkProductionForCalvingSeason_ArgumentsVariation(),3,4)</f>
        <v>fraction</v>
      </c>
      <c r="H78" s="113" t="str">
        <v>Input</v>
      </c>
      <c r="I78" s="115"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9" t="str">
        <v>LC_jk5prev</v>
      </c>
      <c r="E79" s="110" t="str">
        <v>proportion of cows greater than 2 years lactating for the season after calving</v>
      </c>
      <c r="F79" s="112"/>
      <c r="G79" s="109" t="str">
        <v>fraction</v>
      </c>
      <c r="H79" s="113" t="str">
        <v>Input</v>
      </c>
      <c r="I79" s="115"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9" t="str">
        <v>DMP_jk5calv</v>
      </c>
      <c r="E80" s="110" t="str">
        <v>daily milk production for the season of calving (kg/head/day)</v>
      </c>
      <c r="F80" s="112"/>
      <c r="G80" s="109" t="str">
        <v>kg/head/day</v>
      </c>
      <c r="H80" s="114" t="str">
        <v>Constant</v>
      </c>
      <c r="I80" s="124"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9" t="str">
        <v>DMP_jk5after</v>
      </c>
      <c r="E81" s="110" t="str">
        <v>daily milk production for the season after calving (kg/head/day)</v>
      </c>
      <c r="F81" s="112"/>
      <c r="G81" s="109" t="str">
        <v>kg/head/day</v>
      </c>
      <c r="H81" s="114" t="str">
        <v>Constant</v>
      </c>
      <c r="I81" s="124"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9" t="str">
        <v>b</v>
      </c>
      <c r="E82" s="110" t="str">
        <v>breed of cattle</v>
      </c>
      <c r="F82" s="112"/>
      <c r="G82" s="109" t="str">
        <v/>
      </c>
      <c r="H82" s="113" t="str">
        <v>Input</v>
      </c>
      <c r="I82" s="124"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6" t="s">
        <v>261</v>
      </c>
    </row>
    <row r="85" spans="4:35" ht="20.100000000000001" customHeight="1" x14ac:dyDescent="0.25">
      <c r="D85" s="117" t="s">
        <v>262</v>
      </c>
    </row>
    <row r="86" spans="4:35" ht="20.100000000000001" customHeight="1" x14ac:dyDescent="0.25">
      <c r="D86" s="118" t="s">
        <v>78</v>
      </c>
      <c r="E86" s="119" t="s">
        <v>193</v>
      </c>
      <c r="F86" s="119" t="s">
        <v>194</v>
      </c>
      <c r="G86" s="119" t="s">
        <v>195</v>
      </c>
      <c r="T86" s="120"/>
      <c r="U86" s="120"/>
      <c r="V86" s="120"/>
      <c r="W86" s="120"/>
      <c r="X86" s="120"/>
      <c r="Y86" s="120"/>
      <c r="Z86" s="120"/>
      <c r="AA86" s="120"/>
      <c r="AB86" s="120"/>
      <c r="AC86" s="120"/>
      <c r="AD86" s="120"/>
      <c r="AE86" s="120"/>
      <c r="AF86" s="120"/>
      <c r="AG86" s="120"/>
      <c r="AH86" s="120"/>
      <c r="AI86" s="120"/>
    </row>
    <row r="87" spans="4:35" ht="20.100000000000001" customHeight="1" x14ac:dyDescent="0.25">
      <c r="D87" s="25" t="str">
        <f>'Input - Pasture Beef'!$E$105</f>
        <v>Winter</v>
      </c>
      <c r="E87" s="177">
        <f>'Input - Pasture Beef'!$F$111</f>
        <v>0.7</v>
      </c>
      <c r="F87" s="177">
        <f>'Input - Pasture Beef'!$G$111</f>
        <v>0.5</v>
      </c>
      <c r="G87" s="177">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6" t="s">
        <v>263</v>
      </c>
    </row>
    <row r="90" spans="4:35" ht="20.100000000000001" customHeight="1" x14ac:dyDescent="0.25">
      <c r="U90" s="117" t="s">
        <v>264</v>
      </c>
    </row>
    <row r="91" spans="4:35" ht="20.100000000000001" customHeight="1" x14ac:dyDescent="0.25">
      <c r="U91" s="118" t="s">
        <v>77</v>
      </c>
      <c r="V91" s="119" t="s">
        <v>193</v>
      </c>
      <c r="W91" s="119" t="s">
        <v>194</v>
      </c>
      <c r="X91" s="119" t="s">
        <v>195</v>
      </c>
    </row>
    <row r="92" spans="4:35" ht="20.100000000000001" customHeight="1" x14ac:dyDescent="0.25">
      <c r="D92" s="116" t="s">
        <v>433</v>
      </c>
      <c r="U92" s="25" t="str">
        <f>TEXT(EDATE('Input - Pasture Beef'!$D$125,0), "mmmm") &amp; ", " &amp; TEXT(EDATE('Input - Pasture Beef'!$D$126,0), "mmmm") &amp; ", " &amp; TEXT(EDATE('Input - Pasture Beef'!$D$127,0), "mmmm")</f>
        <v>August, September, October</v>
      </c>
      <c r="V92" s="177">
        <f>'Input - Pasture Beef'!$E$128</f>
        <v>0.75</v>
      </c>
      <c r="W92" s="177">
        <f>'Input - Pasture Beef'!$F$128</f>
        <v>0.75</v>
      </c>
      <c r="X92" s="177">
        <f>'Input - Pasture Beef'!$G$128</f>
        <v>0.75</v>
      </c>
      <c r="Y92" s="26" t="s">
        <v>265</v>
      </c>
    </row>
    <row r="93" spans="4:35" ht="20.100000000000001" customHeight="1" x14ac:dyDescent="0.25">
      <c r="D93" s="117"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8" t="s">
        <v>78</v>
      </c>
      <c r="E94" s="118" t="s">
        <v>213</v>
      </c>
      <c r="F94" s="118" t="s">
        <v>435</v>
      </c>
      <c r="G94" s="118" t="s">
        <v>190</v>
      </c>
      <c r="H94" s="118" t="s">
        <v>191</v>
      </c>
      <c r="I94" s="118" t="s">
        <v>192</v>
      </c>
      <c r="J94" s="118" t="s">
        <v>193</v>
      </c>
      <c r="K94" s="118" t="s">
        <v>194</v>
      </c>
      <c r="L94" s="118" t="s">
        <v>195</v>
      </c>
      <c r="M94" s="118" t="s">
        <v>196</v>
      </c>
      <c r="N94" s="118" t="s">
        <v>197</v>
      </c>
      <c r="O94" s="118" t="s">
        <v>198</v>
      </c>
      <c r="P94" s="118"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6"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7" t="s">
        <v>434</v>
      </c>
    </row>
    <row r="99" spans="3:34" ht="20.100000000000001" customHeight="1" x14ac:dyDescent="0.25">
      <c r="U99" s="118" t="s">
        <v>77</v>
      </c>
      <c r="V99" s="118" t="s">
        <v>213</v>
      </c>
      <c r="W99" s="118" t="s">
        <v>435</v>
      </c>
      <c r="X99" s="118" t="s">
        <v>190</v>
      </c>
      <c r="Y99" s="118" t="s">
        <v>191</v>
      </c>
      <c r="Z99" s="118" t="s">
        <v>192</v>
      </c>
      <c r="AA99" s="118" t="s">
        <v>193</v>
      </c>
      <c r="AB99" s="118" t="s">
        <v>194</v>
      </c>
      <c r="AC99" s="118" t="s">
        <v>195</v>
      </c>
      <c r="AD99" s="118" t="s">
        <v>196</v>
      </c>
      <c r="AE99" s="118" t="s">
        <v>197</v>
      </c>
      <c r="AF99" s="118" t="s">
        <v>198</v>
      </c>
      <c r="AG99" s="118" t="s">
        <v>199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20"/>
      <c r="D101" s="120"/>
      <c r="E101" s="120"/>
      <c r="F101" s="120"/>
      <c r="G101" s="120"/>
      <c r="H101" s="120"/>
      <c r="I101" s="120"/>
      <c r="J101" s="120"/>
      <c r="K101" s="120"/>
      <c r="L101" s="120"/>
      <c r="M101" s="120"/>
      <c r="N101" s="120"/>
      <c r="O101" s="120"/>
      <c r="P101" s="120"/>
      <c r="Q101" s="120"/>
      <c r="R101" s="120"/>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7" t="s">
        <v>258</v>
      </c>
      <c r="E104" s="107"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9" t="str" cm="1">
        <f t="array" ref="D111:E114">_xlfn.CHOOSECOLS(MMS_PastureBeef_Soil_N2ODirect_Equations.VEERG_4_2_1_3__4_NitrogenRetainedByBody_Arguments(),1,2)</f>
        <v>MP_jk5</v>
      </c>
      <c r="E111" s="110" t="str">
        <v>milk production (kg/head/day)</v>
      </c>
      <c r="F111" s="112"/>
      <c r="G111" s="109" t="str" cm="1">
        <f t="array" ref="G111:H114">_xlfn.CHOOSECOLS(MMS_PastureBeef_Soil_N2ODirect_Equations.VEERG_4_2_1_3__4_NitrogenRetainedByBody_Arguments(),3,4)</f>
        <v>kg/head/day</v>
      </c>
      <c r="H111" s="114" t="str">
        <v>Calculated from 4.2.1.3 (5)</v>
      </c>
      <c r="I111" s="115"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9" t="str">
        <v>L_jkl</v>
      </c>
      <c r="E112" s="110" t="str">
        <v>intake relative to that needed for maintenance</v>
      </c>
      <c r="F112" s="112"/>
      <c r="G112" s="109" t="str">
        <v/>
      </c>
      <c r="H112" s="114" t="str">
        <v>Calculated from 4.2.1.3 (6)</v>
      </c>
      <c r="I112" s="115" t="str" cm="1">
        <f t="array" aca="1" ref="I112" ca="1">HYPERLINK(Common_InputFunctions.Utility_SourceHyperlink($D$59), $D$59)</f>
        <v>M1_Table_L_j_k_l</v>
      </c>
    </row>
    <row r="113" spans="4:35" ht="20.100000000000001" customHeight="1" x14ac:dyDescent="0.25">
      <c r="D113" s="109" t="str">
        <v>Z_jkl</v>
      </c>
      <c r="E113" s="110" t="str">
        <v>relative size</v>
      </c>
      <c r="F113" s="112"/>
      <c r="G113" s="109" t="str">
        <v/>
      </c>
      <c r="H113" s="114" t="str">
        <v>Calculated from 4.2.1.3 (7)</v>
      </c>
      <c r="I113" s="115" t="str" cm="1">
        <f t="array" aca="1" ref="I113" ca="1">HYPERLINK(Common_InputFunctions.Utility_SourceHyperlink($D$30), $D$30)</f>
        <v>M1_Table_Z_j_k_l</v>
      </c>
    </row>
    <row r="114" spans="4:35" ht="20.100000000000001" customHeight="1" x14ac:dyDescent="0.25">
      <c r="D114" s="109" t="str">
        <v>LWG_jkl</v>
      </c>
      <c r="E114" s="110" t="str">
        <v>liveweight gain (kg/head/day)</v>
      </c>
      <c r="F114" s="112"/>
      <c r="G114" s="109" t="str">
        <v>kg/head/day</v>
      </c>
      <c r="H114" s="113" t="str">
        <v>Input</v>
      </c>
      <c r="I114" s="115" t="str" cm="1">
        <f t="array" aca="1" ref="I114" ca="1">HYPERLINK(Common_InputFunctions.Utility_SourceHyperlink($D$116), $D$116)</f>
        <v>M1_Table_LWG_j_k_l</v>
      </c>
      <c r="T114" s="120"/>
      <c r="U114" s="120"/>
      <c r="V114" s="120"/>
      <c r="W114" s="120"/>
      <c r="X114" s="120"/>
      <c r="Y114" s="120"/>
      <c r="Z114" s="120"/>
      <c r="AA114" s="120"/>
      <c r="AB114" s="120"/>
      <c r="AC114" s="120"/>
      <c r="AD114" s="120"/>
      <c r="AE114" s="120"/>
      <c r="AF114" s="120"/>
      <c r="AG114" s="120"/>
      <c r="AH114" s="120"/>
      <c r="AI114" s="120"/>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6" t="s">
        <v>275</v>
      </c>
    </row>
    <row r="117" spans="4:35" ht="20.100000000000001" customHeight="1" x14ac:dyDescent="0.25">
      <c r="D117" s="117" t="s">
        <v>276</v>
      </c>
      <c r="U117" s="116" t="s">
        <v>277</v>
      </c>
    </row>
    <row r="118" spans="4:35" ht="20.100000000000001" customHeight="1" x14ac:dyDescent="0.25">
      <c r="D118" s="118" t="s">
        <v>78</v>
      </c>
      <c r="E118" s="119" t="s">
        <v>190</v>
      </c>
      <c r="F118" s="119" t="s">
        <v>191</v>
      </c>
      <c r="G118" s="119" t="s">
        <v>192</v>
      </c>
      <c r="H118" s="119" t="s">
        <v>193</v>
      </c>
      <c r="I118" s="119" t="s">
        <v>194</v>
      </c>
      <c r="J118" s="119" t="s">
        <v>195</v>
      </c>
      <c r="K118" s="119" t="s">
        <v>196</v>
      </c>
      <c r="L118" s="119" t="s">
        <v>197</v>
      </c>
      <c r="M118" s="119" t="s">
        <v>198</v>
      </c>
      <c r="N118" s="119" t="s">
        <v>199</v>
      </c>
      <c r="U118" s="117" t="s">
        <v>278</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209</v>
      </c>
      <c r="U119" s="118" t="s">
        <v>77</v>
      </c>
      <c r="V119" s="119" t="s">
        <v>190</v>
      </c>
      <c r="W119" s="119" t="s">
        <v>191</v>
      </c>
      <c r="X119" s="119" t="s">
        <v>192</v>
      </c>
      <c r="Y119" s="119" t="s">
        <v>193</v>
      </c>
      <c r="Z119" s="119" t="s">
        <v>194</v>
      </c>
      <c r="AA119" s="119" t="s">
        <v>195</v>
      </c>
      <c r="AB119" s="119" t="s">
        <v>196</v>
      </c>
      <c r="AC119" s="119" t="s">
        <v>197</v>
      </c>
      <c r="AD119" s="119" t="s">
        <v>198</v>
      </c>
      <c r="AE119" s="119" t="s">
        <v>199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209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211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209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211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209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211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211</v>
      </c>
      <c r="AG123" s="26"/>
      <c r="AH123" s="26"/>
    </row>
    <row r="124" spans="4:35" ht="20.100000000000001" customHeight="1" x14ac:dyDescent="0.25">
      <c r="D124" s="116" t="s">
        <v>437</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211</v>
      </c>
      <c r="AG124" s="26"/>
      <c r="AH124" s="26"/>
    </row>
    <row r="125" spans="4:35" ht="20.100000000000001" customHeight="1" x14ac:dyDescent="0.25">
      <c r="D125" s="117" t="s">
        <v>438</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211</v>
      </c>
      <c r="AG125" s="26"/>
      <c r="AH125" s="26"/>
    </row>
    <row r="126" spans="4:35" ht="20.100000000000001" customHeight="1" x14ac:dyDescent="0.25">
      <c r="D126" s="118" t="s">
        <v>78</v>
      </c>
      <c r="E126" s="118" t="s">
        <v>190</v>
      </c>
      <c r="F126" s="118" t="s">
        <v>191</v>
      </c>
      <c r="G126" s="118" t="s">
        <v>192</v>
      </c>
      <c r="H126" s="118" t="s">
        <v>193</v>
      </c>
      <c r="I126" s="118" t="s">
        <v>194</v>
      </c>
      <c r="J126" s="118" t="s">
        <v>195</v>
      </c>
      <c r="K126" s="118" t="s">
        <v>196</v>
      </c>
      <c r="L126" s="118" t="s">
        <v>197</v>
      </c>
      <c r="M126" s="118" t="s">
        <v>198</v>
      </c>
      <c r="N126" s="118" t="s">
        <v>199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211</v>
      </c>
      <c r="AG126" s="26"/>
      <c r="AH126" s="26"/>
    </row>
    <row r="127" spans="4:35" ht="20.100000000000001" customHeight="1" x14ac:dyDescent="0.25">
      <c r="D127" s="25" t="s">
        <v>200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211</v>
      </c>
      <c r="AG127" s="26"/>
      <c r="AH127" s="26"/>
    </row>
    <row r="128" spans="4:35" ht="20.100000000000001" customHeight="1" x14ac:dyDescent="0.25">
      <c r="D128" s="25" t="s">
        <v>201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211</v>
      </c>
      <c r="AG128" s="26"/>
      <c r="AH128" s="26"/>
    </row>
    <row r="129" spans="3:34" ht="20.100000000000001" customHeight="1" x14ac:dyDescent="0.25">
      <c r="D129" s="25" t="s">
        <v>202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211</v>
      </c>
      <c r="AG129" s="26"/>
      <c r="AH129" s="26"/>
    </row>
    <row r="130" spans="3:34" ht="20.100000000000001" customHeight="1" x14ac:dyDescent="0.25">
      <c r="D130" s="25" t="s">
        <v>203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211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211</v>
      </c>
      <c r="AG131" s="26"/>
      <c r="AH131" s="26"/>
    </row>
    <row r="132" spans="3:34" ht="20.100000000000001" customHeight="1" x14ac:dyDescent="0.25"/>
    <row r="133" spans="3:34" ht="20.100000000000001" customHeight="1" x14ac:dyDescent="0.25">
      <c r="C133" s="120"/>
      <c r="D133" s="120"/>
      <c r="E133" s="120"/>
      <c r="F133" s="120"/>
      <c r="G133" s="120"/>
      <c r="H133" s="120"/>
      <c r="I133" s="120"/>
      <c r="J133" s="120"/>
      <c r="K133" s="120"/>
      <c r="L133" s="120"/>
      <c r="M133" s="120"/>
      <c r="N133" s="120"/>
      <c r="O133" s="120"/>
      <c r="P133" s="120"/>
      <c r="Q133" s="120"/>
      <c r="R133" s="120"/>
      <c r="U133" s="116" t="s">
        <v>439</v>
      </c>
    </row>
    <row r="134" spans="3:34" ht="20.100000000000001" customHeight="1" x14ac:dyDescent="0.25">
      <c r="D134" s="2" t="str" cm="1">
        <f t="array" ref="D134">MMS_PastureBeef_Soil_N2ODirect_Equations.VEERG_4_2_1_3__3_NitrogenExcreted_Title()</f>
        <v>Nitrogen excreted</v>
      </c>
      <c r="U134" s="117" t="s">
        <v>440</v>
      </c>
    </row>
    <row r="135" spans="3:34" ht="20.100000000000001" customHeight="1" x14ac:dyDescent="0.25">
      <c r="D135" s="27" t="str" cm="1">
        <f t="array" ref="D135">MMS_PastureBeef_Soil_N2ODirect_Equations.VEERG_4_2_1_3__3_NitrogenExcreted_Source()</f>
        <v>VEERG 2026: 4.2.1.3, Equation (3)</v>
      </c>
      <c r="U135" s="118" t="s">
        <v>77</v>
      </c>
      <c r="V135" s="118" t="s">
        <v>190</v>
      </c>
      <c r="W135" s="118" t="s">
        <v>191</v>
      </c>
      <c r="X135" s="118" t="s">
        <v>192</v>
      </c>
      <c r="Y135" s="118" t="s">
        <v>193</v>
      </c>
      <c r="Z135" s="118" t="s">
        <v>194</v>
      </c>
      <c r="AA135" s="118" t="s">
        <v>195</v>
      </c>
      <c r="AB135" s="118" t="s">
        <v>196</v>
      </c>
      <c r="AC135" s="118" t="s">
        <v>197</v>
      </c>
      <c r="AD135" s="118" t="s">
        <v>198</v>
      </c>
      <c r="AE135" s="118" t="s">
        <v>199</v>
      </c>
    </row>
    <row r="136" spans="3:34" ht="20.100000000000001" customHeight="1" x14ac:dyDescent="0.25">
      <c r="D136" s="107" t="s">
        <v>258</v>
      </c>
      <c r="E136" s="107"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9" t="str" cm="1">
        <f t="array" ref="D142:E148">_xlfn.CHOOSECOLS(MMS_PastureBeef_Soil_N2ODirect_Equations.VEERG_4_2_1_3__3_NitrogenExcreted_Arguments(),1,2)</f>
        <v>I_jkl</v>
      </c>
      <c r="E142" s="110" t="str">
        <v>dry matter intake as calculated in Chapter 3 Section 3.2.1 (kg DM/head/day)</v>
      </c>
      <c r="F142" s="112"/>
      <c r="G142" s="109" t="str" cm="1">
        <f t="array" ref="G142:H148">_xlfn.CHOOSECOLS(MMS_PastureBeef_Soil_N2ODirect_Equations.VEERG_4_2_1_3__3_NitrogenExcreted_Arguments(),3,4)</f>
        <v>kg DM/head/day</v>
      </c>
      <c r="H142" s="114" t="str">
        <v>Calculated from 3.2.1.1 (3)</v>
      </c>
      <c r="I142" s="115"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9" t="str">
        <v>CP_j</v>
      </c>
      <c r="E143" s="110" t="str">
        <v>crude protein content of dry matter intake</v>
      </c>
      <c r="F143" s="112"/>
      <c r="G143" s="109" t="str">
        <v>fraction</v>
      </c>
      <c r="H143" s="113" t="str">
        <v>Input</v>
      </c>
      <c r="I143" s="115"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9" t="str">
        <v>MC_jk136</v>
      </c>
      <c r="E144" s="110" t="str">
        <v>milk intake (kg/head/day)</v>
      </c>
      <c r="F144" s="112"/>
      <c r="G144" s="109" t="str">
        <v>kg/head/day</v>
      </c>
      <c r="H144" s="114" t="str">
        <v>Constant</v>
      </c>
      <c r="I144" s="115"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9" t="str">
        <v>NR_jkl</v>
      </c>
      <c r="E145" s="110" t="str">
        <v>the amount of nitrogen retained by the body (kg N/head/day)</v>
      </c>
      <c r="F145" s="112"/>
      <c r="G145" s="109" t="str">
        <v>kg N/head/day</v>
      </c>
      <c r="H145" s="114" t="str">
        <v>Calculated from 4.2.1.3 (4)</v>
      </c>
      <c r="I145" s="115"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9" t="str">
        <v>W_jkl</v>
      </c>
      <c r="E146" s="110" t="str">
        <v>liveweight (kg/head)</v>
      </c>
      <c r="F146" s="112"/>
      <c r="G146" s="109" t="str">
        <v>kg/head</v>
      </c>
      <c r="H146" s="113" t="str">
        <v>Input</v>
      </c>
      <c r="I146" s="115"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9" t="str">
        <v>b</v>
      </c>
      <c r="E147" s="110" t="str">
        <v>breed of cattle</v>
      </c>
      <c r="F147" s="112"/>
      <c r="G147" s="109" t="str">
        <v/>
      </c>
      <c r="H147" s="113" t="str">
        <v>Input</v>
      </c>
      <c r="I147" s="124"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9" t="str">
        <v>s</v>
      </c>
      <c r="E148" s="110" t="str">
        <v>Calving season</v>
      </c>
      <c r="F148" s="112"/>
      <c r="G148" s="109" t="str">
        <v/>
      </c>
      <c r="H148" s="113" t="str">
        <v>Input</v>
      </c>
      <c r="I148" s="124" t="str">
        <f>'Input - Pasture Beef'!$E$105</f>
        <v>Winter</v>
      </c>
    </row>
    <row r="149" spans="4:35" ht="20.100000000000001" customHeight="1" x14ac:dyDescent="0.25"/>
    <row r="150" spans="4:35" ht="20.100000000000001" customHeight="1" x14ac:dyDescent="0.25">
      <c r="D150" s="116" t="s">
        <v>441</v>
      </c>
      <c r="T150" s="120"/>
      <c r="U150" s="120"/>
      <c r="V150" s="120"/>
      <c r="W150" s="120"/>
      <c r="X150" s="120"/>
      <c r="Y150" s="120"/>
      <c r="Z150" s="120"/>
      <c r="AA150" s="120"/>
      <c r="AB150" s="120"/>
      <c r="AC150" s="120"/>
      <c r="AD150" s="120"/>
      <c r="AE150" s="120"/>
      <c r="AF150" s="120"/>
      <c r="AG150" s="120"/>
      <c r="AH150" s="120"/>
      <c r="AI150" s="120"/>
    </row>
    <row r="151" spans="4:35" ht="20.100000000000001" customHeight="1" x14ac:dyDescent="0.25">
      <c r="D151" s="117" t="s">
        <v>442</v>
      </c>
      <c r="U151" s="2" t="str" cm="1">
        <f t="array" ref="U151">MMS_PastureBeef_Soil_N2ODirect_Equations.VEERG_4_2_1_3__3_NitrogenExcreted_Title()</f>
        <v>Nitrogen excreted</v>
      </c>
    </row>
    <row r="152" spans="4:35" ht="20.100000000000001" customHeight="1" x14ac:dyDescent="0.25">
      <c r="D152" s="118" t="s">
        <v>78</v>
      </c>
      <c r="E152" s="119" t="s">
        <v>190</v>
      </c>
      <c r="F152" s="119" t="s">
        <v>191</v>
      </c>
      <c r="G152" s="119" t="s">
        <v>192</v>
      </c>
      <c r="H152" s="119" t="s">
        <v>193</v>
      </c>
      <c r="I152" s="119" t="s">
        <v>194</v>
      </c>
      <c r="J152" s="119" t="s">
        <v>195</v>
      </c>
      <c r="K152" s="119" t="s">
        <v>196</v>
      </c>
      <c r="L152" s="119" t="s">
        <v>197</v>
      </c>
      <c r="M152" s="119" t="s">
        <v>198</v>
      </c>
      <c r="N152" s="119" t="s">
        <v>199</v>
      </c>
    </row>
    <row r="153" spans="4:35" ht="20.100000000000001" customHeight="1" x14ac:dyDescent="0.25">
      <c r="D153" s="25" t="s">
        <v>200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230</v>
      </c>
    </row>
    <row r="154" spans="4:35" ht="20.100000000000001" customHeight="1" x14ac:dyDescent="0.25">
      <c r="D154" s="25" t="s">
        <v>201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230</v>
      </c>
    </row>
    <row r="155" spans="4:35" ht="20.100000000000001" customHeight="1" x14ac:dyDescent="0.25">
      <c r="D155" s="25" t="s">
        <v>202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230</v>
      </c>
    </row>
    <row r="156" spans="4:35" ht="20.100000000000001" customHeight="1" x14ac:dyDescent="0.25">
      <c r="D156" s="25" t="s">
        <v>203</v>
      </c>
      <c r="E156" s="25">
        <f ca="1"/>
        <v>0.2</v>
      </c>
      <c r="F156" s="25">
        <f ca="1"/>
        <v>0.2</v>
      </c>
      <c r="G156" s="25">
        <f ca="1"/>
        <v>0.2</v>
      </c>
      <c r="H156" s="25">
        <f ca="1"/>
        <v>0.2</v>
      </c>
      <c r="I156" s="25">
        <f ca="1"/>
        <v>0.2</v>
      </c>
      <c r="J156" s="25">
        <f ca="1"/>
        <v>0.2</v>
      </c>
      <c r="K156" s="25">
        <f ca="1"/>
        <v>0.2</v>
      </c>
      <c r="L156" s="25">
        <f ca="1"/>
        <v>0.2</v>
      </c>
      <c r="M156" s="25">
        <f ca="1"/>
        <v>0.2</v>
      </c>
      <c r="N156" s="25">
        <f ca="1"/>
        <v>0.2</v>
      </c>
      <c r="O156" s="26" t="s">
        <v>230</v>
      </c>
    </row>
    <row r="157" spans="4:35" ht="20.100000000000001" customHeight="1" x14ac:dyDescent="0.25"/>
    <row r="158" spans="4:35" ht="20.100000000000001" customHeight="1" x14ac:dyDescent="0.25">
      <c r="D158" s="116" t="s">
        <v>443</v>
      </c>
    </row>
    <row r="159" spans="4:35" ht="20.100000000000001" customHeight="1" x14ac:dyDescent="0.25">
      <c r="D159" s="117" t="s">
        <v>444</v>
      </c>
    </row>
    <row r="160" spans="4:35" ht="20.100000000000001" customHeight="1" x14ac:dyDescent="0.25">
      <c r="D160" s="118" t="s">
        <v>78</v>
      </c>
      <c r="E160" s="118" t="s">
        <v>213</v>
      </c>
      <c r="F160" s="118" t="s">
        <v>190</v>
      </c>
      <c r="G160" s="118" t="s">
        <v>191</v>
      </c>
      <c r="H160" s="118" t="s">
        <v>192</v>
      </c>
      <c r="I160" s="118" t="s">
        <v>193</v>
      </c>
      <c r="J160" s="118" t="s">
        <v>194</v>
      </c>
      <c r="K160" s="118" t="s">
        <v>195</v>
      </c>
      <c r="L160" s="118" t="s">
        <v>196</v>
      </c>
      <c r="M160" s="118" t="s">
        <v>197</v>
      </c>
      <c r="N160" s="118" t="s">
        <v>198</v>
      </c>
      <c r="O160" s="118"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6"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7"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8" t="s">
        <v>77</v>
      </c>
      <c r="V163" s="119" t="s">
        <v>190</v>
      </c>
      <c r="W163" s="119" t="s">
        <v>191</v>
      </c>
      <c r="X163" s="119" t="s">
        <v>192</v>
      </c>
      <c r="Y163" s="119" t="s">
        <v>193</v>
      </c>
      <c r="Z163" s="119" t="s">
        <v>194</v>
      </c>
      <c r="AA163" s="119" t="s">
        <v>195</v>
      </c>
      <c r="AB163" s="119" t="s">
        <v>196</v>
      </c>
      <c r="AC163" s="119" t="s">
        <v>197</v>
      </c>
      <c r="AD163" s="119" t="s">
        <v>198</v>
      </c>
      <c r="AE163" s="119"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230</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230</v>
      </c>
    </row>
    <row r="166" spans="3:34" ht="20.100000000000001" customHeight="1" x14ac:dyDescent="0.25">
      <c r="D166" s="116" t="s">
        <v>447</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230</v>
      </c>
    </row>
    <row r="167" spans="3:34" ht="20.100000000000001" customHeight="1" x14ac:dyDescent="0.25">
      <c r="D167" s="117" t="s">
        <v>448</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230</v>
      </c>
    </row>
    <row r="168" spans="3:34" ht="20.100000000000001" customHeight="1" x14ac:dyDescent="0.25">
      <c r="D168" s="118" t="s">
        <v>78</v>
      </c>
      <c r="E168" s="118" t="s">
        <v>190</v>
      </c>
      <c r="F168" s="118" t="s">
        <v>191</v>
      </c>
      <c r="G168" s="118" t="s">
        <v>192</v>
      </c>
      <c r="H168" s="118" t="s">
        <v>193</v>
      </c>
      <c r="I168" s="118" t="s">
        <v>194</v>
      </c>
      <c r="J168" s="118" t="s">
        <v>195</v>
      </c>
      <c r="K168" s="118" t="s">
        <v>196</v>
      </c>
      <c r="L168" s="118" t="s">
        <v>197</v>
      </c>
      <c r="M168" s="118" t="s">
        <v>198</v>
      </c>
      <c r="N168" s="118" t="s">
        <v>199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230</v>
      </c>
      <c r="AG168" s="26"/>
      <c r="AH168" s="26"/>
    </row>
    <row r="169" spans="3:34" ht="20.100000000000001" customHeight="1" x14ac:dyDescent="0.25">
      <c r="D169" s="25" t="s">
        <v>200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230</v>
      </c>
      <c r="AG169" s="26"/>
      <c r="AH169" s="26"/>
    </row>
    <row r="170" spans="3:34" ht="20.100000000000001" customHeight="1" x14ac:dyDescent="0.25">
      <c r="D170" s="25" t="s">
        <v>201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230</v>
      </c>
      <c r="AG170" s="26"/>
      <c r="AH170" s="26"/>
    </row>
    <row r="171" spans="3:34" ht="20.100000000000001" customHeight="1" x14ac:dyDescent="0.25">
      <c r="D171" s="25" t="s">
        <v>202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230</v>
      </c>
      <c r="AG171" s="26"/>
      <c r="AH171" s="26"/>
    </row>
    <row r="172" spans="3:34" ht="20.100000000000001" customHeight="1" x14ac:dyDescent="0.25">
      <c r="D172" s="25" t="s">
        <v>203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230</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230</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230</v>
      </c>
      <c r="AG174" s="26"/>
      <c r="AH174" s="26"/>
    </row>
    <row r="175" spans="3:34" ht="20.100000000000001" customHeight="1" x14ac:dyDescent="0.25">
      <c r="C175" s="120"/>
      <c r="D175" s="120"/>
      <c r="E175" s="120"/>
      <c r="F175" s="120"/>
      <c r="G175" s="120"/>
      <c r="H175" s="120"/>
      <c r="I175" s="120"/>
      <c r="J175" s="120"/>
      <c r="K175" s="120"/>
      <c r="L175" s="120"/>
      <c r="M175" s="120"/>
      <c r="N175" s="120"/>
      <c r="O175" s="120"/>
      <c r="P175" s="120"/>
      <c r="Q175" s="120"/>
      <c r="R175" s="120"/>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6" t="s">
        <v>449</v>
      </c>
      <c r="AH177" s="26"/>
    </row>
    <row r="178" spans="4:34" ht="20.100000000000001" customHeight="1" x14ac:dyDescent="0.25">
      <c r="D178" s="107" t="s">
        <v>258</v>
      </c>
      <c r="E178" s="107" t="str" cm="1">
        <f t="array" aca="1" ref="E178" ca="1">Common_InputFunctions.Utility_DisplayFunctionName($E$207)</f>
        <v>=MMS_PastureBeef_Soil_N2ODirect_Equations.VEERG_4_2_1_3__2_TotalNitrogenExcretedToPastureRangeAndPaddock</v>
      </c>
      <c r="U178" s="117" t="s">
        <v>450</v>
      </c>
      <c r="AH178" s="26"/>
    </row>
    <row r="179" spans="4:34" ht="20.100000000000001" customHeight="1" x14ac:dyDescent="0.25">
      <c r="U179" s="118" t="s">
        <v>77</v>
      </c>
      <c r="V179" s="118" t="s">
        <v>213</v>
      </c>
      <c r="W179" s="118" t="s">
        <v>190</v>
      </c>
      <c r="X179" s="118" t="s">
        <v>191</v>
      </c>
      <c r="Y179" s="118" t="s">
        <v>192</v>
      </c>
      <c r="Z179" s="118" t="s">
        <v>193</v>
      </c>
      <c r="AA179" s="118" t="s">
        <v>194</v>
      </c>
      <c r="AB179" s="118" t="s">
        <v>195</v>
      </c>
      <c r="AC179" s="118" t="s">
        <v>196</v>
      </c>
      <c r="AD179" s="118" t="s">
        <v>197</v>
      </c>
      <c r="AE179" s="118" t="s">
        <v>198</v>
      </c>
      <c r="AF179" s="118" t="s">
        <v>199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9" t="str" cm="1">
        <f t="array" ref="D184:E186">_xlfn.CHOOSECOLS(MMS_PastureBeef_Soil_N2ODirect_Equations.VEERG_4_2_1_3__2_TotalNitrogenExcretedToPastureRangeAndPaddock_Arguments(),1,2)</f>
        <v>N_jkl</v>
      </c>
      <c r="E184" s="110" t="str">
        <v>number of beef cattle by time-period, class and subclass</v>
      </c>
      <c r="F184" s="112"/>
      <c r="G184" s="109" t="str" cm="1">
        <f t="array" ref="G184:H186">_xlfn.CHOOSECOLS(MMS_PastureBeef_Soil_N2ODirect_Equations.VEERG_4_2_1_3__2_TotalNitrogenExcretedToPastureRangeAndPaddock_Arguments(),3,4)</f>
        <v>head</v>
      </c>
      <c r="H184" s="113" t="str">
        <v>Input</v>
      </c>
      <c r="I184" s="115"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9" t="str">
        <v>NE_jkl</v>
      </c>
      <c r="E185" s="110" t="str">
        <v>nitrogen excreted in each time-period, by each class and subclass</v>
      </c>
      <c r="F185" s="112"/>
      <c r="G185" s="109" t="str">
        <v>kg N/head/day</v>
      </c>
      <c r="H185" s="114" t="str">
        <v>Calculated from 4.2.1.3 (3)</v>
      </c>
      <c r="I185" s="115"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9" t="str">
        <v>D_j</v>
      </c>
      <c r="E186" s="110" t="str">
        <v>number of days in each time-period (days)</v>
      </c>
      <c r="F186" s="112"/>
      <c r="G186" s="109" t="str">
        <v>days</v>
      </c>
      <c r="H186" s="113" t="str">
        <v>Input</v>
      </c>
      <c r="I186" s="115"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6" t="s">
        <v>287</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7" t="s">
        <v>288</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8" t="s">
        <v>78</v>
      </c>
      <c r="E190" s="119" t="s">
        <v>190</v>
      </c>
      <c r="F190" s="119" t="s">
        <v>191</v>
      </c>
      <c r="G190" s="119" t="s">
        <v>192</v>
      </c>
      <c r="H190" s="119" t="s">
        <v>193</v>
      </c>
      <c r="I190" s="119" t="s">
        <v>194</v>
      </c>
      <c r="J190" s="119" t="s">
        <v>195</v>
      </c>
      <c r="K190" s="119" t="s">
        <v>196</v>
      </c>
      <c r="L190" s="119" t="s">
        <v>197</v>
      </c>
      <c r="M190" s="119" t="s">
        <v>198</v>
      </c>
      <c r="N190" s="119" t="s">
        <v>199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6"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7" t="s">
        <v>452</v>
      </c>
    </row>
    <row r="195" spans="4:34" ht="20.100000000000001" customHeight="1" x14ac:dyDescent="0.25">
      <c r="U195" s="118" t="s">
        <v>77</v>
      </c>
      <c r="V195" s="118" t="s">
        <v>190</v>
      </c>
      <c r="W195" s="118" t="s">
        <v>191</v>
      </c>
      <c r="X195" s="118" t="s">
        <v>192</v>
      </c>
      <c r="Y195" s="118" t="s">
        <v>193</v>
      </c>
      <c r="Z195" s="118" t="s">
        <v>194</v>
      </c>
      <c r="AA195" s="118" t="s">
        <v>195</v>
      </c>
      <c r="AB195" s="118" t="s">
        <v>196</v>
      </c>
      <c r="AC195" s="118" t="s">
        <v>197</v>
      </c>
      <c r="AD195" s="118" t="s">
        <v>198</v>
      </c>
      <c r="AE195" s="118" t="s">
        <v>199</v>
      </c>
    </row>
    <row r="196" spans="4:34" ht="20.100000000000001" customHeight="1" x14ac:dyDescent="0.25">
      <c r="D196" s="116" t="s">
        <v>289</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7" t="s">
        <v>290</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8" t="s">
        <v>78</v>
      </c>
      <c r="E198" s="119" t="s">
        <v>190</v>
      </c>
      <c r="F198" s="119" t="s">
        <v>191</v>
      </c>
      <c r="G198" s="119" t="s">
        <v>192</v>
      </c>
      <c r="H198" s="119" t="s">
        <v>193</v>
      </c>
      <c r="I198" s="119" t="s">
        <v>194</v>
      </c>
      <c r="J198" s="119" t="s">
        <v>195</v>
      </c>
      <c r="K198" s="119" t="s">
        <v>196</v>
      </c>
      <c r="L198" s="119" t="s">
        <v>197</v>
      </c>
      <c r="M198" s="119" t="s">
        <v>198</v>
      </c>
      <c r="N198" s="119" t="s">
        <v>199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6" t="s">
        <v>453</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7" t="s">
        <v>454</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8" t="s">
        <v>78</v>
      </c>
      <c r="E206" s="118" t="s">
        <v>190</v>
      </c>
      <c r="F206" s="118" t="s">
        <v>191</v>
      </c>
      <c r="G206" s="118" t="s">
        <v>192</v>
      </c>
      <c r="H206" s="118" t="s">
        <v>193</v>
      </c>
      <c r="I206" s="118" t="s">
        <v>194</v>
      </c>
      <c r="J206" s="118" t="s">
        <v>195</v>
      </c>
      <c r="K206" s="118" t="s">
        <v>196</v>
      </c>
      <c r="L206" s="118" t="s">
        <v>197</v>
      </c>
      <c r="M206" s="118" t="s">
        <v>198</v>
      </c>
      <c r="N206" s="118" t="s">
        <v>199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200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201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202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203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20"/>
      <c r="U210" s="120"/>
      <c r="V210" s="120"/>
      <c r="W210" s="120"/>
      <c r="X210" s="120"/>
      <c r="Y210" s="120"/>
      <c r="Z210" s="120"/>
      <c r="AA210" s="120"/>
      <c r="AB210" s="120"/>
      <c r="AC210" s="120"/>
      <c r="AD210" s="120"/>
      <c r="AE210" s="120"/>
      <c r="AF210" s="120"/>
      <c r="AG210" s="120"/>
      <c r="AH210" s="120"/>
      <c r="AI210" s="120"/>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2" t="s">
        <v>455</v>
      </c>
      <c r="E212" s="120">
        <f ca="1">SUM(E207:N210)</f>
        <v>60490.349382369524</v>
      </c>
      <c r="F212" s="127" t="str">
        <f>E182</f>
        <v>kg N</v>
      </c>
    </row>
    <row r="213" spans="3:35" ht="20.100000000000001" customHeight="1" x14ac:dyDescent="0.25">
      <c r="U213" s="116" t="s">
        <v>291</v>
      </c>
    </row>
    <row r="214" spans="3:35" ht="20.100000000000001" customHeight="1" x14ac:dyDescent="0.25">
      <c r="U214" s="117" t="s">
        <v>292</v>
      </c>
    </row>
    <row r="215" spans="3:35" ht="20.100000000000001" customHeight="1" x14ac:dyDescent="0.25">
      <c r="C215" s="120"/>
      <c r="D215" s="120"/>
      <c r="E215" s="120"/>
      <c r="F215" s="120"/>
      <c r="G215" s="120"/>
      <c r="H215" s="120"/>
      <c r="I215" s="120"/>
      <c r="J215" s="120"/>
      <c r="K215" s="120"/>
      <c r="L215" s="120"/>
      <c r="M215" s="120"/>
      <c r="N215" s="120"/>
      <c r="O215" s="120"/>
      <c r="P215" s="120"/>
      <c r="Q215" s="120"/>
      <c r="R215" s="120"/>
      <c r="U215" s="118" t="s">
        <v>77</v>
      </c>
      <c r="V215" s="119" t="s">
        <v>190</v>
      </c>
      <c r="W215" s="119" t="s">
        <v>191</v>
      </c>
      <c r="X215" s="119" t="s">
        <v>192</v>
      </c>
      <c r="Y215" s="119" t="s">
        <v>193</v>
      </c>
      <c r="Z215" s="119" t="s">
        <v>194</v>
      </c>
      <c r="AA215" s="119" t="s">
        <v>195</v>
      </c>
      <c r="AB215" s="119" t="s">
        <v>196</v>
      </c>
      <c r="AC215" s="119" t="s">
        <v>197</v>
      </c>
      <c r="AD215" s="119" t="s">
        <v>198</v>
      </c>
      <c r="AE215" s="119"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7" t="s">
        <v>258</v>
      </c>
      <c r="E218" s="107" t="str" cm="1">
        <f t="array" aca="1" ref="E218" ca="1">Common_InputFunctions.Utility_DisplayFunctionName(E229)</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3" t="str" cm="1">
        <f t="array" ref="D224:G227">MMS_PastureBeef_Soil_N2ODirect_Equations.VEERG_4_2_1_3__1_DirectNitrousOxideEmissionsOnPasture_Arguments()</f>
        <v>AE</v>
      </c>
      <c r="E224" s="134" t="str">
        <v>total mass of nitrogen excreted on PRP for beef cattle</v>
      </c>
      <c r="F224" s="135" t="str">
        <v>kg N</v>
      </c>
      <c r="G224" s="136" t="str">
        <v>Calculated from 4.2.1.3 (2)</v>
      </c>
      <c r="H224" s="133"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3" t="str">
        <v>EF_PRP</v>
      </c>
      <c r="E225" s="134" t="str">
        <v>emission factor for nitrous oxide from urine and dung deposited to soil</v>
      </c>
      <c r="F225" s="135" t="str">
        <v>kg N2O-N/kg N deposited</v>
      </c>
      <c r="G225" s="136" t="str">
        <v>Constant</v>
      </c>
      <c r="H225" s="124">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3" t="str">
        <v>C_N2O</v>
      </c>
      <c r="E226" s="134" t="str">
        <v>factor to convert elemental mass of nitrous oxide to molecular mass</v>
      </c>
      <c r="F226" s="135" t="str">
        <v/>
      </c>
      <c r="G226" s="136" t="str">
        <v>Constant</v>
      </c>
      <c r="H226" s="124">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3" t="str">
        <v>z</v>
      </c>
      <c r="E227" s="134" t="str">
        <v>wet or dry climate zone</v>
      </c>
      <c r="F227" s="135" t="str">
        <v/>
      </c>
      <c r="G227" s="136" t="str">
        <v>Input</v>
      </c>
      <c r="H227" s="133"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21" t="s">
        <v>456</v>
      </c>
      <c r="E229" s="122" cm="1">
        <f t="array" aca="1" ref="E229" ca="1">MMS_PastureBeef_Soil_N2ODirect_Equations.VEERG_4_2_1_3__1_DirectNitrousOxideEmissionsOnPasture($E$212,$H$225,$H$226)</f>
        <v>0.19011252663030423</v>
      </c>
      <c r="F229" s="123" t="str">
        <f>$E$222</f>
        <v>t N2O</v>
      </c>
      <c r="U229" s="116" t="s">
        <v>296</v>
      </c>
    </row>
    <row r="230" spans="4:34" ht="20.100000000000001" customHeight="1" x14ac:dyDescent="0.25">
      <c r="U230" s="117" t="s">
        <v>297</v>
      </c>
    </row>
    <row r="231" spans="4:34" ht="20.100000000000001" customHeight="1" x14ac:dyDescent="0.25">
      <c r="D231" s="124" t="str" cm="1">
        <f t="array" ref="D231:E232">Common_Equations.Common_ConvertN2OToCO2e_Arguments()</f>
        <v>EN2O</v>
      </c>
      <c r="E231" s="125" t="str">
        <v>Nitrous oxide emissions (t N2O)</v>
      </c>
      <c r="F231" s="126"/>
      <c r="G231" s="25">
        <f ca="1">E229</f>
        <v>0.19011252663030423</v>
      </c>
      <c r="U231" s="118" t="s">
        <v>77</v>
      </c>
      <c r="V231" s="119" t="s">
        <v>190</v>
      </c>
      <c r="W231" s="119" t="s">
        <v>191</v>
      </c>
      <c r="X231" s="119" t="s">
        <v>192</v>
      </c>
      <c r="Y231" s="119" t="s">
        <v>193</v>
      </c>
      <c r="Z231" s="119" t="s">
        <v>194</v>
      </c>
      <c r="AA231" s="119" t="s">
        <v>195</v>
      </c>
      <c r="AB231" s="119" t="s">
        <v>196</v>
      </c>
      <c r="AC231" s="119" t="s">
        <v>197</v>
      </c>
      <c r="AD231" s="119" t="s">
        <v>198</v>
      </c>
      <c r="AE231" s="119" t="s">
        <v>199</v>
      </c>
    </row>
    <row r="232" spans="4:34" ht="20.100000000000001" customHeight="1" x14ac:dyDescent="0.25">
      <c r="D232" s="124" t="str">
        <v>GWPN2O</v>
      </c>
      <c r="E232" s="125" t="str">
        <v>Global warming potential for nitrous oxide (t CO2-e / t N2O)</v>
      </c>
      <c r="F232" s="126"/>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415</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415</v>
      </c>
      <c r="AG233" s="26"/>
      <c r="AH233" s="26"/>
    </row>
    <row r="234" spans="4:34" ht="20.100000000000001" customHeight="1" x14ac:dyDescent="0.25">
      <c r="D234" s="120" t="s">
        <v>298</v>
      </c>
      <c r="E234" s="120" cm="1">
        <f t="array" aca="1" ref="E234" ca="1">Common_Equations.Common_ConvertN2OToCO2e(G231,G232)</f>
        <v>50.379819557030622</v>
      </c>
      <c r="F234" s="127"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415</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415</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415</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415</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415</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415</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415</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415</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415</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415</v>
      </c>
      <c r="AG243" s="26"/>
      <c r="AH243" s="26"/>
    </row>
    <row r="244" spans="21:34" ht="20.100000000000001" customHeight="1" x14ac:dyDescent="0.25"/>
    <row r="245" spans="21:34" ht="20.100000000000001" customHeight="1" x14ac:dyDescent="0.25">
      <c r="U245" s="116" t="s">
        <v>457</v>
      </c>
    </row>
    <row r="246" spans="21:34" ht="20.100000000000001" customHeight="1" x14ac:dyDescent="0.25">
      <c r="U246" s="117" t="s">
        <v>458</v>
      </c>
    </row>
    <row r="247" spans="21:34" ht="20.100000000000001" customHeight="1" x14ac:dyDescent="0.25">
      <c r="U247" s="118" t="s">
        <v>77</v>
      </c>
      <c r="V247" s="118" t="s">
        <v>190</v>
      </c>
      <c r="W247" s="118" t="s">
        <v>191</v>
      </c>
      <c r="X247" s="118" t="s">
        <v>192</v>
      </c>
      <c r="Y247" s="118" t="s">
        <v>193</v>
      </c>
      <c r="Z247" s="118" t="s">
        <v>194</v>
      </c>
      <c r="AA247" s="118" t="s">
        <v>195</v>
      </c>
      <c r="AB247" s="118" t="s">
        <v>196</v>
      </c>
      <c r="AC247" s="118" t="s">
        <v>197</v>
      </c>
      <c r="AD247" s="118" t="s">
        <v>198</v>
      </c>
      <c r="AE247" s="118" t="s">
        <v>199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32" t="s">
        <v>455</v>
      </c>
      <c r="V261" s="120">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20"/>
      <c r="U264" s="120"/>
      <c r="V264" s="120"/>
      <c r="W264" s="120"/>
      <c r="X264" s="120"/>
      <c r="Y264" s="120"/>
      <c r="Z264" s="120"/>
      <c r="AA264" s="120"/>
      <c r="AB264" s="120"/>
      <c r="AC264" s="120"/>
      <c r="AD264" s="120"/>
      <c r="AE264" s="120"/>
      <c r="AF264" s="120"/>
      <c r="AG264" s="120"/>
      <c r="AH264" s="120"/>
      <c r="AI264" s="120"/>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21" t="s">
        <v>456</v>
      </c>
      <c r="V267" s="122" cm="1">
        <f t="array" aca="1" ref="V267" ca="1">MMS_PastureBeef_Soil_N2ODirect_Equations.VEERG_4_2_1_3__1_DirectNitrousOxideEmissionsOnPasture($V$261,$H$225,$H$226)</f>
        <v>0.18424525527410571</v>
      </c>
      <c r="W267" s="123" t="str">
        <f>$E$222</f>
        <v>t N2O</v>
      </c>
    </row>
    <row r="268" spans="20:35" ht="20.100000000000001" customHeight="1" x14ac:dyDescent="0.25"/>
    <row r="269" spans="20:35" ht="20.100000000000001" customHeight="1" x14ac:dyDescent="0.25">
      <c r="U269" s="124" t="str" cm="1">
        <f t="array" ref="U269:V270">Common_Equations.Common_ConvertN2OToCO2e_Arguments()</f>
        <v>EN2O</v>
      </c>
      <c r="V269" s="125" t="str">
        <v>Nitrous oxide emissions (t N2O)</v>
      </c>
      <c r="W269" s="126"/>
      <c r="X269" s="25">
        <f ca="1">V267</f>
        <v>0.18424525527410571</v>
      </c>
    </row>
    <row r="270" spans="20:35" ht="20.100000000000001" customHeight="1" x14ac:dyDescent="0.25">
      <c r="U270" s="124" t="str">
        <v>GWPN2O</v>
      </c>
      <c r="V270" s="125" t="str">
        <v>Global warming potential for nitrous oxide (t CO2-e / t N2O)</v>
      </c>
      <c r="W270" s="126"/>
      <c r="X270" s="25">
        <f>Common_InputFunctions.Utility_LookupValueInTableNumber("N2O",Table_GWPData[Gas],Table_GWPData[CO2-e factor])</f>
        <v>265</v>
      </c>
    </row>
    <row r="271" spans="20:35" ht="20.100000000000001" customHeight="1" x14ac:dyDescent="0.25"/>
    <row r="272" spans="20:35" ht="20.100000000000001" customHeight="1" x14ac:dyDescent="0.25">
      <c r="U272" s="120" t="s">
        <v>298</v>
      </c>
      <c r="V272" s="120" cm="1">
        <f t="array" aca="1" ref="V272" ca="1">Common_Equations.Common_ConvertN2OToCO2e(X269,X270)</f>
        <v>48.824992647638012</v>
      </c>
      <c r="W272" s="127"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97E4976F-D0C9-4FD6-9219-7891321C292F}"/>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81DC8-1E67-496D-853F-A3BDDA581146}">
  <dimension ref="A1:V165"/>
  <sheetViews>
    <sheetView showGridLines="0" topLeftCell="H1"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7" t="s">
        <v>258</v>
      </c>
      <c r="E7" s="107"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Pasture'!A1", "Pasture")</f>
        <v>Pasture</v>
      </c>
      <c r="D13" s="109" t="str" cm="1">
        <f t="array" ref="D13:E14">_xlfn.CHOOSECOLS(MMS_PastureBeef_Soil_AtmosphericDeposition_Equations.VEERG_4_2_1_5__2_MassOfNitrogenVolatilisedOnPasture_Arguments(),1,2)</f>
        <v>AE</v>
      </c>
      <c r="E13" s="110" t="str">
        <v>total mass of nitrogen excreted on PRP for beef cattle</v>
      </c>
      <c r="F13" s="111"/>
      <c r="G13" s="112"/>
      <c r="H13" s="109" t="str" cm="1">
        <f t="array" ref="H13:I14">_xlfn.CHOOSECOLS(MMS_PastureBeef_Soil_AtmosphericDeposition_Equations.VEERG_4_2_1_5__2_MassOfNitrogenVolatilisedOnPasture_Arguments(),3,4)</f>
        <v>kg N</v>
      </c>
      <c r="I13" s="114" t="str">
        <v>Calculated from 4.2.1.3 (2)</v>
      </c>
      <c r="J13" s="109">
        <f ca="1">VEERG_4_2_1_3__2_TotalNitrogenExcretedToPastureRangeAndPaddock_Result_Method1</f>
        <v>60490.349382369524</v>
      </c>
      <c r="N13" s="109" t="str" cm="1">
        <f t="array" ref="N13:O14">_xlfn.CHOOSECOLS(MMS_PastureBeef_Soil_AtmosphericDeposition_Equations.VEERG_4_2_1_5__2_MassOfNitrogenVolatilisedOnPasture_Arguments(),1,2)</f>
        <v>AE</v>
      </c>
      <c r="O13" s="110" t="str">
        <v>total mass of nitrogen excreted on PRP for beef cattle</v>
      </c>
      <c r="P13" s="111"/>
      <c r="Q13" s="112"/>
      <c r="R13" s="109" t="str" cm="1">
        <f t="array" ref="R13:S14">_xlfn.CHOOSECOLS(MMS_PastureBeef_Soil_AtmosphericDeposition_Equations.VEERG_4_2_1_5__2_MassOfNitrogenVolatilisedOnPasture_Arguments(),3,4)</f>
        <v>kg N</v>
      </c>
      <c r="S13" s="114" t="str">
        <v>Calculated from 4.2.1.3 (2)</v>
      </c>
      <c r="T13" s="124">
        <f ca="1">VEERG_4_2_1_3__2_TotalNitrogenExcretedToPastureRangeAndPaddock_Result_Method2</f>
        <v>58623.490314488175</v>
      </c>
    </row>
    <row r="14" spans="1:22" ht="20.100000000000001" customHeight="1" x14ac:dyDescent="0.25">
      <c r="A14" s="5" t="str">
        <f>HYPERLINK("#'Input - Fertiliser'!A1", "Fertiliser")</f>
        <v>Fertiliser</v>
      </c>
      <c r="D14" s="109" t="str">
        <v>FracGASMsoil</v>
      </c>
      <c r="E14" s="110" t="str">
        <v>fraction of nitrogen volatilised from urine and faeces deposited on pasture ((kg NH3-N + NOx-N)/kg N)</v>
      </c>
      <c r="F14" s="111"/>
      <c r="G14" s="112"/>
      <c r="H14" s="109" t="str">
        <v>fraction</v>
      </c>
      <c r="I14" s="114" t="str">
        <v>Constant</v>
      </c>
      <c r="J14" s="109">
        <f>SourceData_PastureBeef_FracGASMSoil_Data</f>
        <v>0.21</v>
      </c>
      <c r="N14" s="109" t="str">
        <v>FracGASMsoil</v>
      </c>
      <c r="O14" s="110" t="str">
        <v>fraction of nitrogen volatilised from urine and faeces deposited on pasture ((kg NH3-N + NOx-N)/kg N)</v>
      </c>
      <c r="P14" s="111"/>
      <c r="Q14" s="112"/>
      <c r="R14" s="109" t="str">
        <v>fraction</v>
      </c>
      <c r="S14" s="114" t="str">
        <v>Constant</v>
      </c>
      <c r="T14" s="124"/>
    </row>
    <row r="15" spans="1:22" ht="20.100000000000001" customHeight="1" x14ac:dyDescent="0.25">
      <c r="A15" s="5" t="str">
        <f>HYPERLINK("#'Input - Fuel'!A1", "Fuel")</f>
        <v>Fuel</v>
      </c>
    </row>
    <row r="16" spans="1:22" ht="20.100000000000001" customHeight="1" x14ac:dyDescent="0.25">
      <c r="A16" s="5" t="str">
        <f>HYPERLINK("#'Input - Electricity'!A1", "Electricity")</f>
        <v>Electricity</v>
      </c>
      <c r="D16" s="132" t="s">
        <v>460</v>
      </c>
      <c r="E16" s="120" cm="1">
        <f t="array" aca="1" ref="E16" ca="1">MMS_PastureBeef_Soil_AtmosphericDeposition_Equations.VEERG_4_2_1_5__2_MassOfNitrogenVolatilisedOnPasture(J13,J14)</f>
        <v>12702.973370297599</v>
      </c>
      <c r="F16" s="127" t="str">
        <f>E11</f>
        <v>kg N</v>
      </c>
      <c r="L16" s="91"/>
      <c r="N16" s="132" t="s">
        <v>460</v>
      </c>
      <c r="O16" s="120" cm="1">
        <f t="array" aca="1" ref="O16" ca="1">MMS_PastureBeef_Soil_AtmosphericDeposition_Equations.VEERG_4_2_1_5__2_MassOfNitrogenVolatilisedOnPasture(T13,$J$14)</f>
        <v>12310.932966042516</v>
      </c>
      <c r="P16" s="127">
        <f>O11</f>
        <v>0</v>
      </c>
    </row>
    <row r="17" spans="1:22" ht="20.100000000000001" customHeight="1" x14ac:dyDescent="0.25">
      <c r="A17" s="5" t="str">
        <f>HYPERLINK("#'Input - Farm Inputs'!A1", "Farm Inputs")</f>
        <v>Farm Inputs</v>
      </c>
      <c r="L17" s="91"/>
    </row>
    <row r="18" spans="1:22" ht="20.100000000000001" customHeight="1" x14ac:dyDescent="0.25">
      <c r="A18" s="5" t="str">
        <f>HYPERLINK("#'Input - Freight'!A1", "Freight")</f>
        <v>Freight</v>
      </c>
      <c r="L18" s="91"/>
    </row>
    <row r="19" spans="1:22" ht="20.100000000000001" customHeight="1" x14ac:dyDescent="0.25">
      <c r="A19" s="5" t="str">
        <f>HYPERLINK("#'Input - Manure sent off-site'!A1", "Manure sent off-site")</f>
        <v>Manure sent off-site</v>
      </c>
      <c r="C19" s="120"/>
      <c r="D19" s="120"/>
      <c r="E19" s="120"/>
      <c r="F19" s="120"/>
      <c r="G19" s="120"/>
      <c r="H19" s="120"/>
      <c r="I19" s="120"/>
      <c r="J19" s="120"/>
      <c r="K19" s="120"/>
      <c r="L19" s="91"/>
      <c r="M19" s="120"/>
      <c r="N19" s="120"/>
      <c r="O19" s="120"/>
      <c r="P19" s="120"/>
      <c r="Q19" s="120"/>
      <c r="R19" s="120"/>
      <c r="S19" s="120"/>
      <c r="T19" s="120"/>
      <c r="U19" s="120"/>
      <c r="V19" s="120"/>
    </row>
    <row r="20" spans="1:22" ht="20.100000000000001" customHeight="1" x14ac:dyDescent="0.25">
      <c r="A20" s="5" t="str">
        <f>HYPERLINK("#'Input - Solid waste'!A1", "Solid waste")</f>
        <v>Solid waste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27" t="str" cm="1">
        <f t="array" ref="D21">MMS_PastureBeef_Soil_AtmosphericDeposition_Equations.VEERG_4_2_1_5__1_AtmosphericDepositionEmissionsFromUrineAndDungOnPasture_Source()</f>
        <v>VEERG 2026: 4.2.1.5, Equation (1)</v>
      </c>
    </row>
    <row r="22" spans="1:22" ht="20.100000000000001" customHeight="1" x14ac:dyDescent="0.25">
      <c r="D22" s="107" t="s">
        <v>258</v>
      </c>
      <c r="E22" s="107"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6" t="s">
        <v>2</v>
      </c>
    </row>
    <row r="24" spans="1:22" ht="20.100000000000001" customHeight="1" x14ac:dyDescent="0.25">
      <c r="A24" s="5" t="str">
        <f>HYPERLINK("#'3.2.1.1-2 Enteric Methane'!A1", "3.2.1.1-2 Enteric methane")</f>
        <v>3.2.1.1-2 Enteric methane</v>
      </c>
    </row>
    <row r="25" spans="1:22" ht="20.100000000000001" customHeight="1" x14ac:dyDescent="0.25">
      <c r="A25" s="5" t="str">
        <f>HYPERLINK("#'4.2.1.1-2 Methane'!A1", "4.2.1.1-2 Manure methane")</f>
        <v>4.2.1.1-2 Manure methane</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HYPERLINK("#'4.2.1.3-4 Soil direct N20'!A1", "4.2.1.3-4 Soil direct N2O")</f>
        <v>4.2.1.3-4 Soil direct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108" t="str">
        <f>HYPERLINK("#'4.2.1.5-6 Soil Atmos Dep'!A1", "4.2.1.5-6 Soil atm. deposition")</f>
        <v>4.2.1.5-6 Soil atm. deposition</v>
      </c>
    </row>
    <row r="28" spans="1:22" ht="20.100000000000001" customHeight="1" x14ac:dyDescent="0.25">
      <c r="A28" s="5" t="str">
        <f>HYPERLINK("#'4.2.1.7-8 Soil leach runoff'!A1", "4.2.1.7-8 Soil leach &amp; runoff")</f>
        <v>4.2.1.7-8 Soil leach &amp; runoff</v>
      </c>
      <c r="D28" s="109" t="str" cm="1">
        <f t="array" ref="D28:E33">_xlfn.CHOOSECOLS(MMS_PastureBeef_Soil_AtmosphericDeposition_Equations.VEERG_4_2_1_5__1_AtmosphericDepositionEmissionsFromUrineAndDungOnPasture_Arguments(),1,2)</f>
        <v>M_vol</v>
      </c>
      <c r="E28" s="110" t="str">
        <v>mass of nitrogen volatilised from urine and faeces deposited on pasture</v>
      </c>
      <c r="F28" s="112"/>
      <c r="G28" s="109" t="str" cm="1">
        <f t="array" ref="G28:H33">_xlfn.CHOOSECOLS(MMS_PastureBeef_Soil_AtmosphericDeposition_Equations.VEERG_4_2_1_5__1_AtmosphericDepositionEmissionsFromUrineAndDungOnPasture_Arguments(),3,4)</f>
        <v>kg N</v>
      </c>
      <c r="H28" s="114" t="str">
        <v>Calculated from 4.2.1.5 (2)</v>
      </c>
      <c r="I28" s="109">
        <f ca="1">E16</f>
        <v>12702.973370297599</v>
      </c>
      <c r="N28" s="109" t="str" cm="1">
        <f t="array" ref="N28:O33">_xlfn.CHOOSECOLS(MMS_PastureBeef_Soil_AtmosphericDeposition_Equations.VEERG_4_2_1_5__1_AtmosphericDepositionEmissionsFromUrineAndDungOnPasture_Arguments(),1,2)</f>
        <v>M_vol</v>
      </c>
      <c r="O28" s="110" t="str">
        <v>mass of nitrogen volatilised from urine and faeces deposited on pasture</v>
      </c>
      <c r="P28" s="112"/>
      <c r="Q28" s="109" t="str" cm="1">
        <f t="array" ref="Q28:R33">_xlfn.CHOOSECOLS(MMS_PastureBeef_Soil_AtmosphericDeposition_Equations.VEERG_4_2_1_5__1_AtmosphericDepositionEmissionsFromUrineAndDungOnPasture_Arguments(),3,4)</f>
        <v>kg N</v>
      </c>
      <c r="R28" s="114" t="str">
        <v>Calculated from 4.2.1.5 (2)</v>
      </c>
      <c r="S28" s="124">
        <f ca="1">O16</f>
        <v>12310.932966042516</v>
      </c>
    </row>
    <row r="29" spans="1:22" ht="20.100000000000001" customHeight="1" x14ac:dyDescent="0.25">
      <c r="A29" s="5" t="str">
        <f>HYPERLINK("#'5.1.1.1-2 Inorganic fert N2O'!A1", "5.1.1.1-2 Inorganic fert N2O")</f>
        <v>5.1.1.1-2 Inorganic fert N2O</v>
      </c>
      <c r="D29" s="109" t="str">
        <v>EF_N2O</v>
      </c>
      <c r="E29" s="110" t="str">
        <v>nitrous oxide emission factor for atmospheric deposition</v>
      </c>
      <c r="F29" s="112"/>
      <c r="G29" s="109" t="str">
        <v>kg N2O-N/kg N</v>
      </c>
      <c r="H29" s="114" t="str">
        <v>Constant</v>
      </c>
      <c r="I29" s="10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9" t="str">
        <v>EF_N2O</v>
      </c>
      <c r="O29" s="110" t="str">
        <v>nitrous oxide emission factor for atmospheric deposition</v>
      </c>
      <c r="P29" s="112"/>
      <c r="Q29" s="109" t="str">
        <v>kg N2O-N/kg N</v>
      </c>
      <c r="R29" s="114" t="str">
        <v>Constant</v>
      </c>
      <c r="S29" s="124"/>
    </row>
    <row r="30" spans="1:22" ht="20.100000000000001" customHeight="1" x14ac:dyDescent="0.25">
      <c r="A30" s="5" t="str">
        <f>HYPERLINK("#'5.1.1.3-4 Inorganic fert CO2'!A1", "5.1.1.3-4 Inorganic fert CO2")</f>
        <v>5.1.1.3-4 Inorganic fert CO2</v>
      </c>
      <c r="D30" s="109" t="str">
        <v>C_N2O</v>
      </c>
      <c r="E30" s="110" t="str">
        <v>factor to convert elemental mass of N2O to molecular mass</v>
      </c>
      <c r="F30" s="112"/>
      <c r="G30" s="109" t="str">
        <v/>
      </c>
      <c r="H30" s="114" t="str">
        <v>Constant</v>
      </c>
      <c r="I30" s="109">
        <f>Common_InputFunctions.Utility_LookupValueInTableNumber("N2O",Table_GasToMolecularConversionFactor[Gas],Table_GasToMolecularConversionFactor[Conversion factor combined])</f>
        <v>1.5714285714285714</v>
      </c>
      <c r="N30" s="109" t="str">
        <v>C_N2O</v>
      </c>
      <c r="O30" s="110" t="str">
        <v>factor to convert elemental mass of N2O to molecular mass</v>
      </c>
      <c r="P30" s="112"/>
      <c r="Q30" s="109" t="str">
        <v/>
      </c>
      <c r="R30" s="114" t="str">
        <v>Constant</v>
      </c>
      <c r="S30" s="124"/>
    </row>
    <row r="31" spans="1:22" ht="20.100000000000001" customHeight="1" x14ac:dyDescent="0.25">
      <c r="A31" s="5" t="str">
        <f>HYPERLINK("#'5.2.1.1-2 Organic Fert N2O'!A1", "5.2.1.1-2 Organic fert N2O")</f>
        <v>5.2.1.1-2 Organic fert N2O</v>
      </c>
      <c r="D31" s="109" t="str">
        <v>j</v>
      </c>
      <c r="E31" s="110" t="str">
        <v>production system</v>
      </c>
      <c r="F31" s="112"/>
      <c r="G31" s="109" t="str">
        <v/>
      </c>
      <c r="H31" s="113" t="str">
        <v>Input</v>
      </c>
      <c r="I31" s="109" t="str">
        <f>X_Cell_PastureBeef_GrazingProductionSystem</f>
        <v>Pasture</v>
      </c>
      <c r="N31" s="109" t="str">
        <v>j</v>
      </c>
      <c r="O31" s="110" t="str">
        <v>production system</v>
      </c>
      <c r="P31" s="112"/>
      <c r="Q31" s="109" t="str">
        <v/>
      </c>
      <c r="R31" s="113" t="str">
        <v>Input</v>
      </c>
      <c r="S31" s="124"/>
    </row>
    <row r="32" spans="1:22" ht="20.100000000000001" customHeight="1" x14ac:dyDescent="0.25">
      <c r="A32" s="5" t="str">
        <f>HYPERLINK("#'5.3.1.1-2 Lime CO2'!A1", "5.3.1.1-2 Lime CO2")</f>
        <v>5.3.1.1-2 Lime CO2</v>
      </c>
      <c r="D32" s="109" t="str">
        <v>i</v>
      </c>
      <c r="E32" s="110" t="str">
        <v>irrigation method</v>
      </c>
      <c r="F32" s="112"/>
      <c r="G32" s="109" t="str">
        <v/>
      </c>
      <c r="H32" s="113" t="str">
        <v>Input</v>
      </c>
      <c r="I32" s="109" t="str">
        <f>X_Cell_PastureBeef_GrazingIrrigationMethod</f>
        <v>Sprinkler irrigation</v>
      </c>
      <c r="N32" s="109" t="str">
        <v>i</v>
      </c>
      <c r="O32" s="110" t="str">
        <v>irrigation method</v>
      </c>
      <c r="P32" s="112"/>
      <c r="Q32" s="109" t="str">
        <v/>
      </c>
      <c r="R32" s="113" t="str">
        <v>Input</v>
      </c>
      <c r="S32" s="124"/>
    </row>
    <row r="33" spans="1:19" ht="20.100000000000001" customHeight="1" x14ac:dyDescent="0.25">
      <c r="A33" s="5" t="str">
        <f>HYPERLINK("#'5.4.1.1-4 Atmos deposition'!A1", "5.4.1.1-4 Atmos. deposition")</f>
        <v>5.4.1.1-4 Atmos. deposition</v>
      </c>
      <c r="D33" s="109" t="str">
        <v>r</v>
      </c>
      <c r="E33" s="110" t="str">
        <v>rainfall zone</v>
      </c>
      <c r="F33" s="112"/>
      <c r="G33" s="109" t="str">
        <v/>
      </c>
      <c r="H33" s="113" t="str">
        <v>Input</v>
      </c>
      <c r="I33" s="109" t="str">
        <f>X_Cell_Site_RainfallZone</f>
        <v>High rainfall</v>
      </c>
      <c r="N33" s="109" t="str">
        <v>r</v>
      </c>
      <c r="O33" s="110" t="str">
        <v>rainfall zone</v>
      </c>
      <c r="P33" s="112"/>
      <c r="Q33" s="109" t="str">
        <v/>
      </c>
      <c r="R33" s="113" t="str">
        <v>Input</v>
      </c>
      <c r="S33" s="124"/>
    </row>
    <row r="34" spans="1:19" ht="20.100000000000001" customHeight="1" x14ac:dyDescent="0.25">
      <c r="A34" s="5" t="str">
        <f>HYPERLINK("#'5.5.1.1-2 Leaching and runoff'!A1", "5.5.1.1-2 Leaching &amp; runoff")</f>
        <v>5.5.1.1-2 Leaching &amp; runoff</v>
      </c>
    </row>
    <row r="35" spans="1:19" ht="20.100000000000001" customHeight="1" x14ac:dyDescent="0.25">
      <c r="A35" s="5" t="str">
        <f>HYPERLINK("#'6.2.1.1-2 Pasture residue N2O'!A1", "6.2.1.1-2 Pasture residue N2O")</f>
        <v>6.2.1.1-2 Pasture residue N2O</v>
      </c>
      <c r="D35" s="132" t="s">
        <v>461</v>
      </c>
      <c r="E35" s="120" cm="1">
        <f t="array" aca="1" ref="E35" ca="1">MMS_PastureBeef_Soil_AtmosphericDeposition_Equations.VEERG_4_2_1_5__1_AtmosphericDepositionEmissionsFromUrineAndDungOnPasture(I28,I29,I30)</f>
        <v>0.11777471024747345</v>
      </c>
      <c r="F35" s="127" t="str">
        <f>$E$26</f>
        <v>t N2O</v>
      </c>
      <c r="N35" s="132" t="s">
        <v>461</v>
      </c>
      <c r="O35" s="120" cm="1">
        <f t="array" aca="1" ref="O35" ca="1">MMS_PastureBeef_Soil_AtmosphericDeposition_Equations.VEERG_4_2_1_5__1_AtmosphericDepositionEmissionsFromUrineAndDungOnPasture(S28,I29,I30)</f>
        <v>0.11413993564230847</v>
      </c>
      <c r="P35" s="127" t="str">
        <f>$E$26</f>
        <v>t N2O</v>
      </c>
    </row>
    <row r="36" spans="1:19" ht="20.100000000000001" customHeight="1" x14ac:dyDescent="0.25">
      <c r="A36" s="5" t="str">
        <f>HYPERLINK("#'6.3.1.1-2 Leach runoff pasture'!A1", "6.3.1.1-2 Leach &amp; runoff (pasture)")</f>
        <v>6.3.1.1-2 Leach &amp; runoff (pasture)</v>
      </c>
    </row>
    <row r="37" spans="1:19" ht="20.100000000000001" customHeight="1" x14ac:dyDescent="0.25">
      <c r="A37" s="5" t="str">
        <f>HYPERLINK("#'8.1.1.1-2 Transport fuel'!A1", "8.1.1.1-2 Transport fuel")</f>
        <v>8.1.1.1-2 Transport fuel</v>
      </c>
      <c r="D37" s="124" t="str" cm="1">
        <f t="array" ref="D37:E38">Common_Equations.Common_ConvertN2OToCO2e_Arguments()</f>
        <v>EN2O</v>
      </c>
      <c r="E37" s="125" t="str">
        <v>Nitrous oxide emissions (t N2O)</v>
      </c>
      <c r="F37" s="126"/>
      <c r="G37" s="25">
        <f ca="1">E35</f>
        <v>0.11777471024747345</v>
      </c>
      <c r="N37" s="124" t="str" cm="1">
        <f t="array" ref="N37:O38">Common_Equations.Common_ConvertN2OToCO2e_Arguments()</f>
        <v>EN2O</v>
      </c>
      <c r="O37" s="125" t="str">
        <v>Nitrous oxide emissions (t N2O)</v>
      </c>
      <c r="P37" s="126"/>
      <c r="Q37" s="25">
        <f ca="1">O35</f>
        <v>0.11413993564230847</v>
      </c>
    </row>
    <row r="38" spans="1:19" ht="20.100000000000001" customHeight="1" x14ac:dyDescent="0.25">
      <c r="A38" s="5" t="str">
        <f>HYPERLINK("#'8.2.1.1-2 Stationary fuel'!A1", "8.2.1.1-2 Stationary fuel")</f>
        <v>8.2.1.1-2 Stationary fuel</v>
      </c>
      <c r="D38" s="124" t="str">
        <v>GWPN2O</v>
      </c>
      <c r="E38" s="125" t="str">
        <v>Global warming potential for nitrous oxide (t CO2-e / t N2O)</v>
      </c>
      <c r="F38" s="126"/>
      <c r="G38" s="25">
        <f>Common_InputFunctions.Utility_LookupValueInTableNumber("N2O",Table_GWPData[Gas],Table_GWPData[CO2-e factor])</f>
        <v>265</v>
      </c>
      <c r="N38" s="124" t="str">
        <v>GWPN2O</v>
      </c>
      <c r="O38" s="125" t="str">
        <v>Global warming potential for nitrous oxide (t CO2-e / t N2O)</v>
      </c>
      <c r="P38" s="126"/>
      <c r="Q38" s="25">
        <f>Common_InputFunctions.Utility_LookupValueInTableNumber("N2O",Table_GWPData[Gas],Table_GWPData[CO2-e factor])</f>
        <v>265</v>
      </c>
    </row>
    <row r="39" spans="1:19" ht="20.100000000000001" customHeight="1" x14ac:dyDescent="0.25">
      <c r="A39" s="5" t="str">
        <f>HYPERLINK("#'14.1.1-2 Purchased electricity'!A1", "14.1.1-2 Purchased electricity")</f>
        <v>14.1.1-2 Purchased electricity</v>
      </c>
    </row>
    <row r="40" spans="1:19" ht="20.100000000000001" customHeight="1" x14ac:dyDescent="0.25">
      <c r="A40" s="5" t="str">
        <f>HYPERLINK("#'15 Scope 3'!A1", "15 Scope 3")</f>
        <v>15 Scope 3</v>
      </c>
      <c r="D40" s="120" t="s">
        <v>298</v>
      </c>
      <c r="E40" s="120" cm="1">
        <f t="array" aca="1" ref="E40" ca="1">Common_Equations.Common_ConvertN2OToCO2e(G37,G38)</f>
        <v>31.210298215580465</v>
      </c>
      <c r="F40" s="127" t="str" cm="1">
        <f t="array" ref="F40">Common_Equations.Common_ConvertN2OToCO2e_Unit()</f>
        <v>t CO2e</v>
      </c>
      <c r="N40" s="120" t="s">
        <v>298</v>
      </c>
      <c r="O40" s="120" cm="1">
        <f t="array" aca="1" ref="O40" ca="1">Common_Equations.Common_ConvertN2OToCO2e(Q37,Q38)</f>
        <v>30.247082945211744</v>
      </c>
      <c r="P40" s="127" t="str" cm="1">
        <f t="array" ref="P40">Common_Equations.Common_ConvertN2OToCO2e_Unit()</f>
        <v>t CO2e</v>
      </c>
    </row>
    <row r="41" spans="1:19" ht="20.100000000000001" customHeight="1" x14ac:dyDescent="0.25">
      <c r="A41" s="5" t="str">
        <f>HYPERLINK("#'Calcs - Manure sent off-site'!A1", "Calcs - Manure sent off-site")</f>
        <v>Calcs - Manure sent off-site</v>
      </c>
    </row>
    <row r="42" spans="1:19" ht="20.100000000000001" customHeight="1" x14ac:dyDescent="0.25">
      <c r="A42" s="5" t="str">
        <f>HYPERLINK("#'10.1.1-2 Solid waste treatment'!A1", "10.1.1-2 Solid waste treatment")</f>
        <v>10.1.1-2 Solid waste treatment</v>
      </c>
    </row>
    <row r="43" spans="1:19" ht="20.100000000000001" customHeight="1" x14ac:dyDescent="0.25"/>
    <row r="44" spans="1:19" ht="20.100000000000001" customHeight="1" x14ac:dyDescent="0.25"/>
    <row r="45" spans="1:19" ht="20.100000000000001" customHeight="1" x14ac:dyDescent="0.25">
      <c r="A45" s="94" t="s">
        <v>1</v>
      </c>
    </row>
    <row r="46" spans="1:19" ht="20.100000000000001" customHeight="1" x14ac:dyDescent="0.25">
      <c r="A46" s="5" t="str">
        <f>HYPERLINK("#'Constants - Pasture Beef'!A1", "Constants - Pasture Beef")</f>
        <v>Constants - Pasture Beef</v>
      </c>
    </row>
    <row r="47" spans="1:19" ht="20.100000000000001" customHeight="1" x14ac:dyDescent="0.25">
      <c r="A47" s="5" t="str">
        <f>HYPERLINK("#'Constants - Ag Residue'!A1", "Constants - Ag residue")</f>
        <v>Constants - Ag residue</v>
      </c>
    </row>
    <row r="48" spans="1:19"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94DA4C2A-1255-4098-A0FE-94AEEEE7E9A7}"/>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0ED-ACEF-4B72-A922-0594BB1EFABA}">
  <dimension ref="A1:S165"/>
  <sheetViews>
    <sheetView showGridLines="0" topLeftCell="E1"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7" t="s">
        <v>258</v>
      </c>
      <c r="E7" s="107"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Pasture'!A1", "Pasture")</f>
        <v>Pasture</v>
      </c>
      <c r="D13" s="109" t="str" cm="1">
        <f t="array" ref="D13:E18">_xlfn.CHOOSECOLS(MMS_PastureBeef_Soil_LeachingAndRunoff.VEERG_4_2_1_7__2_MassOfNitrogenLostToLeachingAndRunoffOnPasture_Arguments(),1,2)</f>
        <v>AE</v>
      </c>
      <c r="E13" s="110" t="str">
        <v>total mass of nitrogen excreted on PRP for beef cattle</v>
      </c>
      <c r="F13" s="112"/>
      <c r="G13" s="109" t="str" cm="1">
        <f t="array" ref="G13:H18">_xlfn.CHOOSECOLS(MMS_PastureBeef_Soil_LeachingAndRunoff.VEERG_4_2_1_7__2_MassOfNitrogenLostToLeachingAndRunoffOnPasture_Arguments(),3,4)</f>
        <v>kg N</v>
      </c>
      <c r="H13" s="114" t="str">
        <v>Calculated from 4.2.1.3 (2)</v>
      </c>
      <c r="I13" s="109">
        <f ca="1">VEERG_4_2_1_3__2_TotalNitrogenExcretedToPastureRangeAndPaddock_Result_Method1</f>
        <v>60490.349382369524</v>
      </c>
      <c r="M13" s="109" t="str" cm="1">
        <f t="array" ref="M13:N18">_xlfn.CHOOSECOLS(MMS_PastureBeef_Soil_LeachingAndRunoff.VEERG_4_2_1_7__2_MassOfNitrogenLostToLeachingAndRunoffOnPasture_Arguments(),1,2)</f>
        <v>AE</v>
      </c>
      <c r="N13" s="110" t="str">
        <v>total mass of nitrogen excreted on PRP for beef cattle</v>
      </c>
      <c r="O13" s="112"/>
      <c r="P13" s="109" t="str" cm="1">
        <f t="array" ref="P13:Q18">_xlfn.CHOOSECOLS(MMS_PastureBeef_Soil_LeachingAndRunoff.VEERG_4_2_1_7__2_MassOfNitrogenLostToLeachingAndRunoffOnPasture_Arguments(),3,4)</f>
        <v>kg N</v>
      </c>
      <c r="Q13" s="114" t="str">
        <v>Calculated from 4.2.1.3 (2)</v>
      </c>
      <c r="R13" s="109">
        <f ca="1">VEERG_4_2_1_3__2_TotalNitrogenExcretedToPastureRangeAndPaddock_Result_Method2</f>
        <v>58623.490314488175</v>
      </c>
    </row>
    <row r="14" spans="1:19" ht="20.100000000000001" customHeight="1" x14ac:dyDescent="0.25">
      <c r="A14" s="5" t="str">
        <f>HYPERLINK("#'Input - Fertiliser'!A1", "Fertiliser")</f>
        <v>Fertiliser</v>
      </c>
      <c r="D14" s="109" t="str">
        <v>FracWet</v>
      </c>
      <c r="E14" s="110" t="str">
        <v>fraction of N available for leaching and runoff</v>
      </c>
      <c r="F14" s="112"/>
      <c r="G14" s="109" t="str">
        <v>fraction</v>
      </c>
      <c r="H14" s="114" t="str">
        <v>Constant</v>
      </c>
      <c r="I14" s="109">
        <f>Common_InputFunctions.CommonCropping_GetFracWET(I16,I18,#REF!,#REF!,Table_SourceData_FracWETIrrigation[Irrigation type i],Table_SourceData_FracWETIrrigation[FracWET])</f>
        <v>1</v>
      </c>
      <c r="M14" s="109" t="str">
        <v>FracWet</v>
      </c>
      <c r="N14" s="110" t="str">
        <v>fraction of N available for leaching and runoff</v>
      </c>
      <c r="O14" s="112"/>
      <c r="P14" s="109" t="str">
        <v>fraction</v>
      </c>
      <c r="Q14" s="114" t="str">
        <v>Constant</v>
      </c>
      <c r="R14" s="109"/>
    </row>
    <row r="15" spans="1:19" ht="20.100000000000001" customHeight="1" x14ac:dyDescent="0.25">
      <c r="A15" s="5" t="str">
        <f>HYPERLINK("#'Input - Fuel'!A1", "Fuel")</f>
        <v>Fuel</v>
      </c>
      <c r="D15" s="109" t="str">
        <v>FracLEACH</v>
      </c>
      <c r="E15" s="110" t="str">
        <v>fraction of all N that is lost through leaching and runoff</v>
      </c>
      <c r="F15" s="112"/>
      <c r="G15" s="109" t="str">
        <v>fraction</v>
      </c>
      <c r="H15" s="114" t="str">
        <v>Constant</v>
      </c>
      <c r="I15" s="109">
        <f>SourceData_PastureBeef_FracLEACH_Data</f>
        <v>0.24</v>
      </c>
      <c r="M15" s="109" t="str">
        <v>FracLEACH</v>
      </c>
      <c r="N15" s="110" t="str">
        <v>fraction of all N that is lost through leaching and runoff</v>
      </c>
      <c r="O15" s="112"/>
      <c r="P15" s="109" t="str">
        <v>fraction</v>
      </c>
      <c r="Q15" s="114" t="str">
        <v>Constant</v>
      </c>
      <c r="R15" s="109"/>
    </row>
    <row r="16" spans="1:19" ht="20.100000000000001" customHeight="1" x14ac:dyDescent="0.25">
      <c r="A16" s="5" t="str">
        <f>HYPERLINK("#'Input - Electricity'!A1", "Electricity")</f>
        <v>Electricity</v>
      </c>
      <c r="D16" s="109" t="str">
        <v>z</v>
      </c>
      <c r="E16" s="110" t="str">
        <v>location in leaching zone</v>
      </c>
      <c r="F16" s="112"/>
      <c r="G16" s="109" t="str">
        <v/>
      </c>
      <c r="H16" s="113" t="str">
        <v>Input</v>
      </c>
      <c r="I16" s="109" t="str">
        <f>X_Cell_Site_LeachingZone</f>
        <v>NO - Not in leaching zone</v>
      </c>
      <c r="M16" s="109" t="str">
        <v>z</v>
      </c>
      <c r="N16" s="110" t="str">
        <v>location in leaching zone</v>
      </c>
      <c r="O16" s="112"/>
      <c r="P16" s="109" t="str">
        <v/>
      </c>
      <c r="Q16" s="113" t="str">
        <v>Input</v>
      </c>
      <c r="R16" s="109"/>
    </row>
    <row r="17" spans="1:19" ht="20.100000000000001" customHeight="1" x14ac:dyDescent="0.25">
      <c r="A17" s="5" t="str">
        <f>HYPERLINK("#'Input - Farm Inputs'!A1", "Farm Inputs")</f>
        <v>Farm Inputs</v>
      </c>
      <c r="D17" s="109" t="str">
        <v>j</v>
      </c>
      <c r="E17" s="110" t="str">
        <v>production system</v>
      </c>
      <c r="F17" s="112"/>
      <c r="G17" s="109" t="str">
        <v/>
      </c>
      <c r="H17" s="113" t="str">
        <v>Input</v>
      </c>
      <c r="I17" s="109" t="str">
        <f>X_Cell_PastureBeef_GrazingProductionSystem</f>
        <v>Pasture</v>
      </c>
      <c r="M17" s="109" t="str">
        <v>j</v>
      </c>
      <c r="N17" s="110" t="str">
        <v>production system</v>
      </c>
      <c r="O17" s="112"/>
      <c r="P17" s="109" t="str">
        <v/>
      </c>
      <c r="Q17" s="113" t="str">
        <v>Input</v>
      </c>
      <c r="R17" s="109"/>
    </row>
    <row r="18" spans="1:19" ht="20.100000000000001" customHeight="1" x14ac:dyDescent="0.25">
      <c r="A18" s="5" t="str">
        <f>HYPERLINK("#'Input - Freight'!A1", "Freight")</f>
        <v>Freight</v>
      </c>
      <c r="D18" s="109" t="str">
        <v>ir</v>
      </c>
      <c r="E18" s="110" t="str">
        <v>irrigation method</v>
      </c>
      <c r="F18" s="112"/>
      <c r="G18" s="109" t="str">
        <v/>
      </c>
      <c r="H18" s="113" t="str">
        <v>Input</v>
      </c>
      <c r="I18" s="109" t="str">
        <f>X_Cell_PastureBeef_GrazingIrrigationMethod</f>
        <v>Sprinkler irrigation</v>
      </c>
      <c r="M18" s="109" t="str">
        <v>ir</v>
      </c>
      <c r="N18" s="110" t="str">
        <v>irrigation method</v>
      </c>
      <c r="O18" s="112"/>
      <c r="P18" s="109" t="str">
        <v/>
      </c>
      <c r="Q18" s="113" t="str">
        <v>Input</v>
      </c>
      <c r="R18" s="109"/>
    </row>
    <row r="19" spans="1:19" ht="20.100000000000001" customHeight="1" x14ac:dyDescent="0.25">
      <c r="A19" s="5" t="str">
        <f>HYPERLINK("#'Input - Manure sent off-site'!A1", "Manure sent off-site")</f>
        <v>Manure sent off-site</v>
      </c>
    </row>
    <row r="20" spans="1:19" ht="20.100000000000001" customHeight="1" x14ac:dyDescent="0.25">
      <c r="A20" s="5" t="str">
        <f>HYPERLINK("#'Input - Solid waste'!A1", "Solid waste")</f>
        <v>Solid waste</v>
      </c>
      <c r="D20" s="132" t="s">
        <v>463</v>
      </c>
      <c r="E20" s="120" cm="1">
        <f t="array" aca="1" ref="E20" ca="1">MMS_PastureBeef_Soil_LeachingAndRunoff.VEERG_4_2_1_7__2_MassOfNitrogenLostToLeachingAndRunoffOnPasture($I$13,$I$14,$I$15)</f>
        <v>14517.683851768685</v>
      </c>
      <c r="F20" s="127" t="str">
        <f>$E$11</f>
        <v>kg N</v>
      </c>
      <c r="K20" s="91"/>
      <c r="M20" s="132" t="s">
        <v>463</v>
      </c>
      <c r="N20" s="120" cm="1">
        <f t="array" aca="1" ref="N20" ca="1">MMS_PastureBeef_Soil_LeachingAndRunoff.VEERG_4_2_1_7__2_MassOfNitrogenLostToLeachingAndRunoffOnPasture($R$13,$I$14,$I$15)</f>
        <v>14069.637675477161</v>
      </c>
      <c r="O20" s="127" t="str">
        <f>$E$11</f>
        <v>kg N</v>
      </c>
    </row>
    <row r="21" spans="1:19" ht="20.100000000000001" customHeight="1" x14ac:dyDescent="0.25">
      <c r="K21" s="91"/>
    </row>
    <row r="22" spans="1:19" ht="20.100000000000001" customHeight="1" x14ac:dyDescent="0.25">
      <c r="K22" s="91"/>
    </row>
    <row r="23" spans="1:19" ht="20.100000000000001" customHeight="1" x14ac:dyDescent="0.25">
      <c r="A23" s="6" t="s">
        <v>2</v>
      </c>
      <c r="C23" s="120"/>
      <c r="D23" s="120"/>
      <c r="E23" s="120"/>
      <c r="F23" s="120"/>
      <c r="G23" s="120"/>
      <c r="H23" s="120"/>
      <c r="I23" s="120"/>
      <c r="J23" s="120"/>
      <c r="K23" s="91"/>
      <c r="L23" s="120"/>
      <c r="M23" s="120"/>
      <c r="N23" s="120"/>
      <c r="O23" s="120"/>
      <c r="P23" s="120"/>
      <c r="Q23" s="120"/>
      <c r="R23" s="120"/>
      <c r="S23" s="120"/>
    </row>
    <row r="24" spans="1:19" ht="20.100000000000001" customHeight="1" x14ac:dyDescent="0.25">
      <c r="A24" s="5" t="str">
        <f>HYPERLINK("#'3.2.1.1-2 Enteric Methane'!A1", "3.2.1.1-2 Enteric methane")</f>
        <v>3.2.1.1-2 Enteric methane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HYPERLINK("#'4.2.1.1-2 Methane'!A1", "4.2.1.1-2 Manure methane")</f>
        <v>4.2.1.1-2 Manure methane</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HYPERLINK("#'4.2.1.3-4 Soil direct N20'!A1", "4.2.1.3-4 Soil direct N2O")</f>
        <v>4.2.1.3-4 Soil direct N2O</v>
      </c>
      <c r="D26" s="107" t="s">
        <v>258</v>
      </c>
      <c r="E26" s="107"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HYPERLINK("#'4.2.1.5-6 Soil Atmos Dep'!A1", "4.2.1.5-6 Soil atm. deposition")</f>
        <v>4.2.1.5-6 Soil atm. deposition</v>
      </c>
    </row>
    <row r="28" spans="1:19" ht="20.100000000000001" customHeight="1" x14ac:dyDescent="0.25">
      <c r="A28" s="108" t="str">
        <f>HYPERLINK("#'4.2.1.7-8 Soil leach runoff'!A1", "4.2.1.7-8 Soil leach &amp; runoff")</f>
        <v>4.2.1.7-8 Soil leach &amp; runoff</v>
      </c>
    </row>
    <row r="29" spans="1:19" ht="20.100000000000001" customHeight="1" x14ac:dyDescent="0.25">
      <c r="A29" s="5" t="str">
        <f>HYPERLINK("#'5.1.1.1-2 Inorganic fert N2O'!A1", "5.1.1.1-2 Inorganic fert N2O")</f>
        <v>5.1.1.1-2 Inorganic fert N2O</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HYPERLINK("#'5.1.1.3-4 Inorganic fert CO2'!A1", "5.1.1.3-4 Inorganic fert CO2")</f>
        <v>5.1.1.3-4 Inorganic fert CO2</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HYPERLINK("#'5.2.1.1-2 Organic Fert N2O'!A1", "5.2.1.1-2 Organic fert N2O")</f>
        <v>5.2.1.1-2 Organic fert N2O</v>
      </c>
    </row>
    <row r="32" spans="1:19" ht="20.100000000000001" customHeight="1" x14ac:dyDescent="0.25">
      <c r="A32" s="5" t="str">
        <f>HYPERLINK("#'5.3.1.1-2 Lime CO2'!A1", "5.3.1.1-2 Lime CO2")</f>
        <v>5.3.1.1-2 Lime CO2</v>
      </c>
      <c r="D32" s="109" t="str" cm="1">
        <f t="array" ref="D32:E34">_xlfn.CHOOSECOLS(MMS_PastureBeef_Soil_LeachingAndRunoff.VEERG_4_2_1_7__1_LeachingAndRunoffEmissionsFromUrineAndDungOnPasture_Arguments(),1,2)</f>
        <v>M_leach</v>
      </c>
      <c r="E32" s="110" t="str">
        <v>mass of nitrogen lost to leaching and runoff</v>
      </c>
      <c r="F32" s="112"/>
      <c r="G32" s="109" t="str" cm="1">
        <f t="array" ref="G32:H34">_xlfn.CHOOSECOLS(MMS_PastureBeef_Soil_LeachingAndRunoff.VEERG_4_2_1_7__1_LeachingAndRunoffEmissionsFromUrineAndDungOnPasture_Arguments(),3,4)</f>
        <v>kg N</v>
      </c>
      <c r="H32" s="114" t="str">
        <v>Calculated from 4.2.1.7 (2)</v>
      </c>
      <c r="I32" s="109">
        <f ca="1">$E$20</f>
        <v>14517.683851768685</v>
      </c>
      <c r="M32" s="109" t="str" cm="1">
        <f t="array" ref="M32:N34">_xlfn.CHOOSECOLS(MMS_PastureBeef_Soil_LeachingAndRunoff.VEERG_4_2_1_7__1_LeachingAndRunoffEmissionsFromUrineAndDungOnPasture_Arguments(),1,2)</f>
        <v>M_leach</v>
      </c>
      <c r="N32" s="110" t="str">
        <v>mass of nitrogen lost to leaching and runoff</v>
      </c>
      <c r="O32" s="112"/>
      <c r="P32" s="109" t="str" cm="1">
        <f t="array" ref="P32:Q34">_xlfn.CHOOSECOLS(MMS_PastureBeef_Soil_LeachingAndRunoff.VEERG_4_2_1_7__1_LeachingAndRunoffEmissionsFromUrineAndDungOnPasture_Arguments(),3,4)</f>
        <v>kg N</v>
      </c>
      <c r="Q32" s="114" t="str">
        <v>Calculated from 4.2.1.7 (2)</v>
      </c>
      <c r="R32" s="109">
        <f ca="1">$N$20</f>
        <v>14069.637675477161</v>
      </c>
    </row>
    <row r="33" spans="1:18" ht="20.100000000000001" customHeight="1" x14ac:dyDescent="0.25">
      <c r="A33" s="5" t="str">
        <f>HYPERLINK("#'5.4.1.1-4 Atmos deposition'!A1", "5.4.1.1-4 Atmos. deposition")</f>
        <v>5.4.1.1-4 Atmos. deposition</v>
      </c>
      <c r="D33" s="109" t="str">
        <v>EF_leach</v>
      </c>
      <c r="E33" s="110" t="str">
        <v>emission factor for leaching and runoff</v>
      </c>
      <c r="F33" s="112"/>
      <c r="G33" s="109" t="str">
        <v>kg N2O-N/kg N</v>
      </c>
      <c r="H33" s="114" t="str">
        <v>Constant</v>
      </c>
      <c r="I33" s="109">
        <f>'Constants - Common'!$E$170</f>
        <v>1.0999999999999999E-2</v>
      </c>
      <c r="M33" s="109" t="str">
        <v>EF_leach</v>
      </c>
      <c r="N33" s="110" t="str">
        <v>emission factor for leaching and runoff</v>
      </c>
      <c r="O33" s="112"/>
      <c r="P33" s="109" t="str">
        <v>kg N2O-N/kg N</v>
      </c>
      <c r="Q33" s="114" t="str">
        <v>Constant</v>
      </c>
      <c r="R33" s="109"/>
    </row>
    <row r="34" spans="1:18" ht="20.100000000000001" customHeight="1" x14ac:dyDescent="0.25">
      <c r="A34" s="5" t="str">
        <f>HYPERLINK("#'5.5.1.1-2 Leaching and runoff'!A1", "5.5.1.1-2 Leaching &amp; runoff")</f>
        <v>5.5.1.1-2 Leaching &amp; runoff</v>
      </c>
      <c r="D34" s="109" t="str">
        <v>C_N2O</v>
      </c>
      <c r="E34" s="110" t="str">
        <v>factor to convert elemental mass of N2O to molecular mass</v>
      </c>
      <c r="F34" s="112"/>
      <c r="G34" s="109" t="str">
        <v/>
      </c>
      <c r="H34" s="114" t="str">
        <v>Constant</v>
      </c>
      <c r="I34" s="109">
        <f>Common_InputFunctions.Utility_LookupValueInTableNumber("N2O",Table_GasToMolecularConversionFactor[Gas],Table_GasToMolecularConversionFactor[Conversion factor combined])</f>
        <v>1.5714285714285714</v>
      </c>
      <c r="M34" s="109" t="str">
        <v>C_N2O</v>
      </c>
      <c r="N34" s="110" t="str">
        <v>factor to convert elemental mass of N2O to molecular mass</v>
      </c>
      <c r="O34" s="112"/>
      <c r="P34" s="109" t="str">
        <v/>
      </c>
      <c r="Q34" s="114" t="str">
        <v>Constant</v>
      </c>
      <c r="R34" s="109"/>
    </row>
    <row r="35" spans="1:18" ht="20.100000000000001" customHeight="1" x14ac:dyDescent="0.25">
      <c r="A35" s="5" t="str">
        <f>HYPERLINK("#'6.2.1.1-2 Pasture residue N2O'!A1", "6.2.1.1-2 Pasture residue N2O")</f>
        <v>6.2.1.1-2 Pasture residue N2O</v>
      </c>
    </row>
    <row r="36" spans="1:18" ht="20.100000000000001" customHeight="1" x14ac:dyDescent="0.25">
      <c r="A36" s="5" t="str">
        <f>HYPERLINK("#'6.3.1.1-2 Leach runoff pasture'!A1", "6.3.1.1-2 Leach &amp; runoff (pasture)")</f>
        <v>6.3.1.1-2 Leach &amp; runoff (pasture)</v>
      </c>
      <c r="D36" s="132" t="s">
        <v>464</v>
      </c>
      <c r="E36" s="120" cm="1">
        <f t="array" aca="1" ref="E36" ca="1">MMS_PastureBeef_Soil_LeachingAndRunoff.VEERG_4_2_1_7__1_LeachingAndRunoffEmissionsFromUrineAndDungOnPasture(I32,I33,I34)</f>
        <v>0.2509485351520015</v>
      </c>
      <c r="F36" s="127" t="str">
        <f>$E$30</f>
        <v>t N2O</v>
      </c>
      <c r="M36" s="132" t="s">
        <v>464</v>
      </c>
      <c r="N36" s="120" cm="1">
        <f t="array" aca="1" ref="N36" ca="1">MMS_PastureBeef_Soil_LeachingAndRunoff.VEERG_4_2_1_7__1_LeachingAndRunoffEmissionsFromUrineAndDungOnPasture(R32,I33,I34)</f>
        <v>0.24320373696181949</v>
      </c>
      <c r="O36" s="127" t="str">
        <f>$E$30</f>
        <v>t N2O</v>
      </c>
    </row>
    <row r="37" spans="1:18" ht="20.100000000000001" customHeight="1" x14ac:dyDescent="0.25">
      <c r="A37" s="5" t="str">
        <f>HYPERLINK("#'8.1.1.1-2 Transport fuel'!A1", "8.1.1.1-2 Transport fuel")</f>
        <v>8.1.1.1-2 Transport fuel</v>
      </c>
    </row>
    <row r="38" spans="1:18" ht="20.100000000000001" customHeight="1" x14ac:dyDescent="0.25">
      <c r="A38" s="5" t="str">
        <f>HYPERLINK("#'8.2.1.1-2 Stationary fuel'!A1", "8.2.1.1-2 Stationary fuel")</f>
        <v>8.2.1.1-2 Stationary fuel</v>
      </c>
      <c r="D38" s="124" t="str" cm="1">
        <f t="array" ref="D38:E39">Common_Equations.Common_ConvertN2OToCO2e_Arguments()</f>
        <v>EN2O</v>
      </c>
      <c r="E38" s="125" t="str">
        <v>Nitrous oxide emissions (t N2O)</v>
      </c>
      <c r="F38" s="126"/>
      <c r="G38" s="25">
        <f ca="1">E36</f>
        <v>0.2509485351520015</v>
      </c>
      <c r="M38" s="124" t="str" cm="1">
        <f t="array" ref="M38:N39">Common_Equations.Common_ConvertN2OToCO2e_Arguments()</f>
        <v>EN2O</v>
      </c>
      <c r="N38" s="125" t="str">
        <v>Nitrous oxide emissions (t N2O)</v>
      </c>
      <c r="O38" s="126"/>
      <c r="P38" s="25">
        <f ca="1">N36</f>
        <v>0.24320373696181949</v>
      </c>
    </row>
    <row r="39" spans="1:18" ht="20.100000000000001" customHeight="1" x14ac:dyDescent="0.25">
      <c r="A39" s="5" t="str">
        <f>HYPERLINK("#'14.1.1-2 Purchased electricity'!A1", "14.1.1-2 Purchased electricity")</f>
        <v>14.1.1-2 Purchased electricity</v>
      </c>
      <c r="D39" s="124" t="str">
        <v>GWPN2O</v>
      </c>
      <c r="E39" s="125" t="str">
        <v>Global warming potential for nitrous oxide (t CO2-e / t N2O)</v>
      </c>
      <c r="F39" s="126"/>
      <c r="G39" s="25">
        <f>Common_InputFunctions.Utility_LookupValueInTableNumber("N2O",Table_GWPData[Gas],Table_GWPData[CO2-e factor])</f>
        <v>265</v>
      </c>
      <c r="M39" s="124" t="str">
        <v>GWPN2O</v>
      </c>
      <c r="N39" s="125" t="str">
        <v>Global warming potential for nitrous oxide (t CO2-e / t N2O)</v>
      </c>
      <c r="O39" s="126"/>
      <c r="P39" s="25">
        <f>Common_InputFunctions.Utility_LookupValueInTableNumber("N2O",Table_GWPData[Gas],Table_GWPData[CO2-e factor])</f>
        <v>265</v>
      </c>
    </row>
    <row r="40" spans="1:18" ht="20.100000000000001" customHeight="1" x14ac:dyDescent="0.25">
      <c r="A40" s="5" t="str">
        <f>HYPERLINK("#'15 Scope 3'!A1", "15 Scope 3")</f>
        <v>15 Scope 3</v>
      </c>
    </row>
    <row r="41" spans="1:18" ht="20.100000000000001" customHeight="1" x14ac:dyDescent="0.25">
      <c r="A41" s="5" t="str">
        <f>HYPERLINK("#'Calcs - Manure sent off-site'!A1", "Calcs - Manure sent off-site")</f>
        <v>Calcs - Manure sent off-site</v>
      </c>
      <c r="D41" s="120" t="s">
        <v>298</v>
      </c>
      <c r="E41" s="120" cm="1">
        <f t="array" aca="1" ref="E41" ca="1">Common_Equations.Common_ConvertN2OToCO2e(G38,G39)</f>
        <v>66.50136181528039</v>
      </c>
      <c r="F41" s="127" t="str" cm="1">
        <f t="array" ref="F41">Common_Equations.Common_ConvertN2OToCO2e_Unit()</f>
        <v>t CO2e</v>
      </c>
      <c r="M41" s="120" t="s">
        <v>298</v>
      </c>
      <c r="N41" s="120" cm="1">
        <f t="array" aca="1" ref="N41" ca="1">Common_Equations.Common_ConvertN2OToCO2e(P38,P39)</f>
        <v>64.448990294882165</v>
      </c>
      <c r="O41" s="127" t="str" cm="1">
        <f t="array" ref="O41">Common_Equations.Common_ConvertN2OToCO2e_Unit()</f>
        <v>t CO2e</v>
      </c>
    </row>
    <row r="42" spans="1:18" ht="20.100000000000001" customHeight="1" x14ac:dyDescent="0.25">
      <c r="A42" s="5" t="str">
        <f>HYPERLINK("#'10.1.1-2 Solid waste treatment'!A1", "10.1.1-2 Solid waste treatment")</f>
        <v>10.1.1-2 Solid waste treatment</v>
      </c>
    </row>
    <row r="43" spans="1:18" ht="20.100000000000001" customHeight="1" x14ac:dyDescent="0.25"/>
    <row r="44" spans="1:18" ht="20.100000000000001" customHeight="1" x14ac:dyDescent="0.25"/>
    <row r="45" spans="1:18" ht="20.100000000000001" customHeight="1" x14ac:dyDescent="0.25">
      <c r="A45" s="94" t="s">
        <v>1</v>
      </c>
    </row>
    <row r="46" spans="1:18" ht="20.100000000000001" customHeight="1" x14ac:dyDescent="0.25">
      <c r="A46" s="5" t="str">
        <f>HYPERLINK("#'Constants - Pasture Beef'!A1", "Constants - Pasture Beef")</f>
        <v>Constants - Pasture Beef</v>
      </c>
    </row>
    <row r="47" spans="1:18" ht="20.100000000000001" customHeight="1" x14ac:dyDescent="0.25">
      <c r="A47" s="5" t="str">
        <f>HYPERLINK("#'Constants - Ag Residue'!A1", "Constants - Ag residue")</f>
        <v>Constants - Ag residue</v>
      </c>
    </row>
    <row r="48" spans="1:18"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DF8EDBA9-9DD9-4955-916D-F59A33596A86}"/>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EC6E8-90B1-404F-9594-04A86BEE6C38}">
  <dimension ref="A1:X342"/>
  <sheetViews>
    <sheetView showGridLines="0" topLeftCell="B46"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7" t="s">
        <v>258</v>
      </c>
      <c r="E7" s="107"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260</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132</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24" t="str" cm="1">
        <f t="array" ref="M12:N13">_xlfn.CHOOSECOLS(Fertiliser_Equations_InorganicN2O.VEERG_5_1_1_2__1_EmissionFactorIrrigatedMaize_Arguments(), 1, 2)</f>
        <v>N_fjIrrigatedMaize</v>
      </c>
      <c r="N12" s="125" t="str">
        <v>application rate of inorganic fertiliser type f in the irrigated maize crop</v>
      </c>
      <c r="O12" s="170"/>
      <c r="P12" s="124" t="str" cm="1">
        <f t="array" ref="P12:Q13">_xlfn.CHOOSECOLS(Fertiliser_Equations_InorganicN2O.VEERG_5_1_1_2__1_EmissionFactorIrrigatedMaize_Arguments(), 3,4)</f>
        <v>kg N/ha</v>
      </c>
      <c r="Q12" s="113" t="str">
        <v>Input</v>
      </c>
      <c r="R12" s="171" t="str" cm="1">
        <f t="array" aca="1" ref="R12" ca="1">HYPERLINK(Common_InputFunctions.Utility_SourceHyperlink($M$41), $M$41)</f>
        <v>M2_Table_FertApplications</v>
      </c>
      <c r="S12" s="172"/>
    </row>
    <row r="13" spans="1:24" ht="20.100000000000001" customHeight="1" x14ac:dyDescent="0.25">
      <c r="A13" s="5" t="str">
        <f>HYPERLINK("#'Input - Pasture'!A1", "Pasture")</f>
        <v>Pasture</v>
      </c>
      <c r="D13" s="124" t="str" cm="1">
        <f t="array" ref="D13:E14">_xlfn.CHOOSECOLS(Fertiliser_Equations_InorganicN2O.VEERG_5_1_1_1__2_MassOfNitrogenInInorganicFertiliser_Arguments(), 1,2)</f>
        <v>TM_jf</v>
      </c>
      <c r="E13" s="124" t="str">
        <v>total mass of inorganic fertiliser type f applied to production system j</v>
      </c>
      <c r="F13" s="124"/>
      <c r="G13" s="124"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24" t="str">
        <v>f</v>
      </c>
      <c r="N13" s="125" t="str">
        <v>Inorganic fertiliser type</v>
      </c>
      <c r="O13" s="170"/>
      <c r="P13" s="124" t="str">
        <v/>
      </c>
      <c r="Q13" s="114" t="str">
        <v>Constant</v>
      </c>
      <c r="R13" s="125" t="s">
        <v>537</v>
      </c>
      <c r="S13" s="172"/>
    </row>
    <row r="14" spans="1:24" ht="20.100000000000001" customHeight="1" x14ac:dyDescent="0.25">
      <c r="A14" s="5" t="str">
        <f>HYPERLINK("#'Input - Fertiliser'!A1", "Fertiliser")</f>
        <v>Fertiliser</v>
      </c>
      <c r="D14" s="124" t="str">
        <v>FN_inorganicf</v>
      </c>
      <c r="E14" s="125" t="str">
        <v xml:space="preserve">fraction of nitrogen in inorganic fertiliser type f </v>
      </c>
      <c r="F14" s="173"/>
      <c r="G14" s="124" t="str">
        <v>kg N/kg</v>
      </c>
      <c r="H14" s="114" t="str">
        <v>Constant</v>
      </c>
      <c r="I14" s="115" t="str" cm="1">
        <f t="array" aca="1" ref="I14" ca="1">HYPERLINK(Common_InputFunctions.Utility_SourceHyperlink($D$16), $D$16)</f>
        <v>Table_MN_j_f</v>
      </c>
    </row>
    <row r="15" spans="1:24" ht="20.100000000000001" customHeight="1" x14ac:dyDescent="0.25">
      <c r="A15" s="5" t="str">
        <f>HYPERLINK("#'Input - Fuel'!A1", "Fuel")</f>
        <v>Fuel</v>
      </c>
    </row>
    <row r="16" spans="1:24" ht="20.100000000000001" customHeight="1" x14ac:dyDescent="0.25">
      <c r="A16" s="5" t="str">
        <f>HYPERLINK("#'Input - Electricity'!A1", "Electricity")</f>
        <v>Electricity</v>
      </c>
      <c r="D16" s="116"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Farm Inputs'!A1", "Farm Inputs")</f>
        <v>Farm Inputs</v>
      </c>
      <c r="D17" s="117" t="s">
        <v>539</v>
      </c>
      <c r="M17" s="27" t="str" cm="1">
        <f t="array" ref="M17">Fertiliser_Equations_InorganicN2O.VEERG_5_1_1_2__2_EmissionFactorNonIrrigatedGrainsHighRainfall_Source()</f>
        <v>VEERG 2026: 5.1.1.2, Equation (2)</v>
      </c>
    </row>
    <row r="18" spans="1:19" ht="20.100000000000001" customHeight="1" x14ac:dyDescent="0.25">
      <c r="A18" s="5" t="str">
        <f>HYPERLINK("#'Input - Freight'!A1", "Freight")</f>
        <v>Freight</v>
      </c>
      <c r="D18" s="118" t="s">
        <v>540</v>
      </c>
      <c r="E18" s="119" t="s">
        <v>541</v>
      </c>
      <c r="F18" s="118" t="s">
        <v>542</v>
      </c>
      <c r="G18" s="118" t="s">
        <v>543</v>
      </c>
    </row>
    <row r="19" spans="1:19"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Solid waste'!A1", "Solid waste")</f>
        <v>Solid waste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6" t="s">
        <v>2</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4" t="str" cm="1">
        <f t="array" ref="M23:N24">_xlfn.CHOOSECOLS(Fertiliser_Equations_InorganicN2O.VEERG_5_1_1_2__2_EmissionFactorNonIrrigatedGrainsHighRainfall_Arguments(), 1, 2)</f>
        <v>N_fjNonIrrigatedGrains</v>
      </c>
      <c r="N23" s="125" t="str">
        <v>application rate of inorganic fertiliser type f in the grains crop</v>
      </c>
      <c r="O23" s="170"/>
      <c r="P23" s="124" t="str" cm="1">
        <f t="array" ref="P23:Q24">_xlfn.CHOOSECOLS(Fertiliser_Equations_InorganicN2O.VEERG_5_1_1_2__2_EmissionFactorNonIrrigatedGrainsHighRainfall_Arguments(), 3,4)</f>
        <v>kg N/ha</v>
      </c>
      <c r="Q23" s="113" t="str">
        <v>Input</v>
      </c>
      <c r="R23" s="171" t="str" cm="1">
        <f t="array" aca="1" ref="R23" ca="1">HYPERLINK(Common_InputFunctions.Utility_SourceHyperlink($M$41), $M$41)</f>
        <v>M2_Table_FertApplications</v>
      </c>
      <c r="S23" s="173"/>
    </row>
    <row r="24" spans="1:19" ht="20.100000000000001" customHeight="1" x14ac:dyDescent="0.25">
      <c r="A24" s="5" t="str">
        <f>HYPERLINK("#'3.2.1.1-2 Enteric Methane'!A1", "3.2.1.1-2 Enteric methane")</f>
        <v>3.2.1.1-2 Enteric methane</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4" t="str">
        <v>f</v>
      </c>
      <c r="N24" s="125" t="str">
        <v>Inorganic fertiliser type</v>
      </c>
      <c r="O24" s="170"/>
      <c r="P24" s="124" t="str">
        <v/>
      </c>
      <c r="Q24" s="114" t="str">
        <v>Constant</v>
      </c>
      <c r="R24" s="125" t="s">
        <v>537</v>
      </c>
      <c r="S24" s="173"/>
    </row>
    <row r="25" spans="1:19" ht="20.100000000000001" customHeight="1" x14ac:dyDescent="0.25">
      <c r="A25" s="5" t="str">
        <f>HYPERLINK("#'4.2.1.1-2 Methane'!A1", "4.2.1.1-2 Manure methane")</f>
        <v>4.2.1.1-2 Manure methane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HYPERLINK("#'4.2.1.3-4 Soil direct N20'!A1", "4.2.1.3-4 Soil direct N2O")</f>
        <v>4.2.1.3-4 Soil direct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HYPERLINK("#'4.2.1.5-6 Soil Atmos Dep'!A1", "4.2.1.5-6 Soil atm. deposition")</f>
        <v>4.2.1.5-6 Soil atm. deposition</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HYPERLINK("#'4.2.1.7-8 Soil leach runoff'!A1", "4.2.1.7-8 Soil leach &amp; runoff")</f>
        <v>4.2.1.7-8 Soil leach &amp; runoff</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108" t="str">
        <f>HYPERLINK("#'5.1.1.1-2 Inorganic fert N2O'!A1", "5.1.1.1-2 Inorganic fert N2O")</f>
        <v>5.1.1.1-2 Inorganic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HYPERLINK("#'5.1.1.3-4 Inorganic fert CO2'!A1", "5.1.1.3-4 Inorganic fert CO2")</f>
        <v>5.1.1.3-4 Inorganic fert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HYPERLINK("#'5.2.1.1-2 Organic Fert N2O'!A1", "5.2.1.1-2 Organic fert N2O")</f>
        <v>5.2.1.1-2 Organic fert N2O</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HYPERLINK("#'5.3.1.1-2 Lime CO2'!A1", "5.3.1.1-2 Lime CO2")</f>
        <v>5.3.1.1-2 Lime CO2</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HYPERLINK("#'5.4.1.1-4 Atmos deposition'!A1", "5.4.1.1-4 Atmos. deposition")</f>
        <v>5.4.1.1-4 Atmos. deposition</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HYPERLINK("#'5.5.1.1-2 Leaching and runoff'!A1", "5.5.1.1-2 Leaching &amp; runoff")</f>
        <v>5.5.1.1-2 Leaching &amp; runoff</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HYPERLINK("#'6.2.1.1-2 Pasture residue N2O'!A1", "6.2.1.1-2 Pasture residue N2O")</f>
        <v>6.2.1.1-2 Pasture residue N2O</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4" t="str" cm="1">
        <f t="array" ref="M35:N36">_xlfn.CHOOSECOLS(Fertiliser_Equations_InorganicN2O.VEERG_5_1_1_2__3_EmissionFactorCotton_Arguments(), 1, 2)</f>
        <v>N_fjCotton</v>
      </c>
      <c r="N35" s="125" t="str">
        <v>application rate of inorganic fertiliser type f in the cotton crop</v>
      </c>
      <c r="O35" s="170"/>
      <c r="P35" s="125" t="str" cm="1">
        <f t="array" ref="P35:Q36">_xlfn.CHOOSECOLS(Fertiliser_Equations_InorganicN2O.VEERG_5_1_1_2__3_EmissionFactorCotton_Arguments(), 3,4)</f>
        <v>kg N/ha</v>
      </c>
      <c r="Q35" s="113" t="str">
        <v>Input</v>
      </c>
      <c r="R35" s="171" t="str" cm="1">
        <f t="array" aca="1" ref="R35" ca="1">HYPERLINK(Common_InputFunctions.Utility_SourceHyperlink($M$41), $M$41)</f>
        <v>M2_Table_FertApplications</v>
      </c>
      <c r="S35" s="173"/>
    </row>
    <row r="36" spans="1:23" ht="20.100000000000001" customHeight="1" x14ac:dyDescent="0.25">
      <c r="A36" s="5" t="str">
        <f>HYPERLINK("#'6.3.1.1-2 Leach runoff pasture'!A1", "6.3.1.1-2 Leach &amp; runoff (pasture)")</f>
        <v>6.3.1.1-2 Leach &amp; runoff (pasture)</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4" t="str">
        <v>f</v>
      </c>
      <c r="N36" s="125" t="str">
        <v>Inorganic fertiliser type</v>
      </c>
      <c r="O36" s="170"/>
      <c r="P36" s="125" t="str">
        <v/>
      </c>
      <c r="Q36" s="114" t="str">
        <v>Constant</v>
      </c>
      <c r="R36" s="125" t="s">
        <v>537</v>
      </c>
      <c r="S36" s="173"/>
    </row>
    <row r="37" spans="1:23" ht="20.100000000000001" customHeight="1" x14ac:dyDescent="0.25">
      <c r="A37" s="5" t="str">
        <f>HYPERLINK("#'8.1.1.1-2 Transport fuel'!A1", "8.1.1.1-2 Transport fuel")</f>
        <v>8.1.1.1-2 Transport fuel</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HYPERLINK("#'8.2.1.1-2 Stationary fuel'!A1", "8.2.1.1-2 Stationary fuel")</f>
        <v>8.2.1.1-2 Stationary fuel</v>
      </c>
      <c r="N38" s="98"/>
      <c r="O38" s="98"/>
      <c r="P38" s="98"/>
    </row>
    <row r="39" spans="1:23" ht="20.100000000000001" customHeight="1" x14ac:dyDescent="0.25">
      <c r="A39" s="5" t="str">
        <f>HYPERLINK("#'14.1.1-2 Purchased electricity'!A1", "14.1.1-2 Purchased electricity")</f>
        <v>14.1.1-2 Purchased electricity</v>
      </c>
      <c r="C39" s="120"/>
      <c r="D39" s="120"/>
      <c r="E39" s="120"/>
      <c r="F39" s="120"/>
      <c r="G39" s="120"/>
      <c r="H39" s="120"/>
      <c r="I39" s="120"/>
      <c r="J39" s="120"/>
      <c r="M39" s="98" t="s">
        <v>544</v>
      </c>
    </row>
    <row r="40" spans="1:23" ht="20.100000000000001" customHeight="1" x14ac:dyDescent="0.25">
      <c r="A40" s="5" t="str">
        <f>HYPERLINK("#'15 Scope 3'!A1", "15 Scope 3")</f>
        <v>15 Scope 3</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HYPERLINK("#'Calcs - Manure sent off-site'!A1", "Calcs - Manure sent off-site")</f>
        <v>Calcs - Manure sent off-site</v>
      </c>
      <c r="D41" s="27" t="str" cm="1">
        <f t="array" ref="D41">Fertiliser_Equations_InorganicN2O.VEERG_5_1_1_1__1_InorganicFertiliserApplicationN2OEmissions_Source()</f>
        <v>VEERG 2026: 5.1.1.1, Equation (1)</v>
      </c>
      <c r="M41" s="116" t="s">
        <v>545</v>
      </c>
      <c r="T41" s="130" t="s">
        <v>546</v>
      </c>
    </row>
    <row r="42" spans="1:23" ht="20.100000000000001" customHeight="1" x14ac:dyDescent="0.25">
      <c r="A42" s="5" t="str">
        <f>HYPERLINK("#'10.1.1-2 Solid waste treatment'!A1", "10.1.1-2 Solid waste treatment")</f>
        <v>10.1.1-2 Solid waste treatment</v>
      </c>
      <c r="D42" s="107" t="s">
        <v>258</v>
      </c>
      <c r="E42" s="107" t="str" cm="1">
        <f t="array" aca="1" ref="E42" ca="1">Common_InputFunctions.Utility_DisplayFunctionName($E$60)</f>
        <v>=Fertiliser_Equations_InorganicN2O.VEERG_5_1_1_1__1_InorganicFertiliserApplicationN2OEmissions</v>
      </c>
      <c r="F42" s="26"/>
      <c r="M42" s="117" t="s">
        <v>547</v>
      </c>
    </row>
    <row r="43" spans="1:23" ht="20.100000000000001" customHeight="1" x14ac:dyDescent="0.25">
      <c r="F43" s="26"/>
      <c r="O43" s="174" t="s">
        <v>548</v>
      </c>
      <c r="P43" s="174" t="s">
        <v>470</v>
      </c>
      <c r="Q43" s="174" t="s">
        <v>549</v>
      </c>
      <c r="R43" s="174" t="str">
        <f>$N$10</f>
        <v>kg N2O-N/kg N applied</v>
      </c>
      <c r="S43" s="174" t="str">
        <f>$N$21</f>
        <v>kg N2O-N/kg N applied</v>
      </c>
      <c r="T43" s="174" t="s">
        <v>548</v>
      </c>
      <c r="U43" s="174" t="s">
        <v>549</v>
      </c>
      <c r="V43" s="174" t="str">
        <f>$N$33</f>
        <v>kg N2O-N/kg N applied</v>
      </c>
      <c r="W43" s="174" t="s">
        <v>550</v>
      </c>
    </row>
    <row r="44" spans="1:23" ht="20.100000000000001" customHeight="1" x14ac:dyDescent="0.25">
      <c r="F44" s="26"/>
      <c r="M44" s="118" t="s">
        <v>551</v>
      </c>
      <c r="N44" s="119" t="s">
        <v>551</v>
      </c>
      <c r="O44" s="119" t="s">
        <v>552</v>
      </c>
      <c r="P44" s="119" t="s">
        <v>553</v>
      </c>
      <c r="Q44" s="118" t="s">
        <v>554</v>
      </c>
      <c r="R44" s="118" t="str">
        <f>N9</f>
        <v>EF_fjIrrigatedMaizeN2O</v>
      </c>
      <c r="S44" s="118" t="str">
        <f>N20</f>
        <v>EF_fjNonIrrigatedGrainsN2O</v>
      </c>
      <c r="T44" s="118" t="s">
        <v>555</v>
      </c>
      <c r="U44" s="118" t="s">
        <v>556</v>
      </c>
      <c r="V44" s="118" t="str">
        <f>N32</f>
        <v>EF_fjCottonN2O</v>
      </c>
      <c r="W44" s="118" t="s">
        <v>557</v>
      </c>
    </row>
    <row r="45" spans="1:23" ht="20.100000000000001" customHeight="1" x14ac:dyDescent="0.25">
      <c r="A45" s="94" t="s">
        <v>1</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Pasture Beef'!A1", "Constants - Pasture Beef")</f>
        <v>Constants - Pasture Beef</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Ag Residue'!A1", "Constants - Ag residue")</f>
        <v>Constants - Ag residue</v>
      </c>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Common Livestock'!A1", "Constants - Common Livestock")</f>
        <v>Constants - Common Livestock</v>
      </c>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s="5" t="str">
        <f>HYPERLINK("#'Constants - Electricity'!A1", "Constants - Electricity")</f>
        <v>Constants - Electricity</v>
      </c>
      <c r="D49" s="124" t="str" cm="1">
        <f t="array" ref="D49:E55">_xlfn.CHOOSECOLS(Fertiliser_Equations_InorganicN2O.VEERG_5_1_1_1__1_InorganicFertiliserApplicationN2OEmissions_Arguments(), 1, 2)</f>
        <v>MN_jf</v>
      </c>
      <c r="E49" s="125" t="str">
        <v>mass of nitrogen in inorganic fertiliser type f applied to production system j</v>
      </c>
      <c r="F49" s="170"/>
      <c r="G49" s="124"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s="5" t="str">
        <f>HYPERLINK("#'Constants - Fertiliser'!A1", "Constants - Fertiliser")</f>
        <v>Constants - Fertiliser</v>
      </c>
      <c r="D50" s="124" t="str">
        <v>EF_jN2O</v>
      </c>
      <c r="E50" s="125" t="str">
        <v>emission factor for nitrous oxide for inorganic fertilisers</v>
      </c>
      <c r="F50" s="170"/>
      <c r="G50" s="124" t="str">
        <v>kg N2O-N/kg N applied</v>
      </c>
      <c r="H50" s="114" t="str">
        <v>Constant</v>
      </c>
      <c r="I50" s="12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s="5" t="str">
        <f>HYPERLINK("#'Constants - Fuel'!A1", "Constants - Fuel")</f>
        <v>Constants - Fuel</v>
      </c>
      <c r="D51" s="124" t="str">
        <v>C_N2O</v>
      </c>
      <c r="E51" s="125" t="str">
        <v>factor to convert elemental mass of nitrous oxide to molecular mass</v>
      </c>
      <c r="F51" s="170"/>
      <c r="G51" s="124" t="str">
        <v/>
      </c>
      <c r="H51" s="114" t="str">
        <v>Constant</v>
      </c>
      <c r="I51" s="124">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s="5" t="str">
        <f>HYPERLINK("#'Constants - Scope 3'!A1", "Constants - Scope 3")</f>
        <v>Constants - Scope 3</v>
      </c>
      <c r="D52" s="124" t="str">
        <v>j</v>
      </c>
      <c r="E52" s="125" t="str">
        <v>Production system</v>
      </c>
      <c r="F52" s="170"/>
      <c r="G52" s="124" t="str">
        <v/>
      </c>
      <c r="H52" s="113" t="str">
        <v>Input</v>
      </c>
      <c r="I52" s="124"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s="5" t="str">
        <f>HYPERLINK("#'Constants - Common'!A1", "Constants - Common")</f>
        <v>Constants - Common</v>
      </c>
      <c r="D53" s="124" t="str">
        <v>f</v>
      </c>
      <c r="E53" s="125" t="str">
        <v>Inorganic fertiliser type</v>
      </c>
      <c r="F53" s="170"/>
      <c r="G53" s="124" t="str">
        <v/>
      </c>
      <c r="H53" s="114" t="str">
        <v>Constant</v>
      </c>
      <c r="I53" s="124"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HYPERLINK("#'Acknowledgements'!A1", "Acknowledgements")</f>
        <v>Acknowledgements</v>
      </c>
      <c r="D54" s="124" t="str">
        <v>ir</v>
      </c>
      <c r="E54" s="125" t="str">
        <v>irrigation method</v>
      </c>
      <c r="F54" s="170"/>
      <c r="G54" s="124" t="str">
        <v/>
      </c>
      <c r="H54" s="113" t="str">
        <v>Input</v>
      </c>
      <c r="I54" s="124"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Solid Waste'!A1", "Constants - Solid Waste")</f>
        <v>Constants - Solid Waste</v>
      </c>
      <c r="D55" s="124" t="str">
        <v>z</v>
      </c>
      <c r="E55" s="125" t="str">
        <v>rainfall zone</v>
      </c>
      <c r="F55" s="170"/>
      <c r="G55" s="124" t="str">
        <v/>
      </c>
      <c r="H55" s="113" t="str">
        <v>Input</v>
      </c>
      <c r="I55" s="124" t="str">
        <f>X_Cell_Site_RainfallZone</f>
        <v>High rainfall</v>
      </c>
    </row>
    <row r="56" spans="1:24" ht="20.100000000000001" customHeight="1" x14ac:dyDescent="0.25">
      <c r="F56" s="26"/>
    </row>
    <row r="57" spans="1:24" ht="20.100000000000001" customHeight="1" x14ac:dyDescent="0.25">
      <c r="D57" s="116" t="s">
        <v>560</v>
      </c>
      <c r="F57" s="26"/>
      <c r="L57" s="120"/>
      <c r="M57" s="120"/>
      <c r="N57" s="120"/>
      <c r="O57" s="120"/>
      <c r="P57" s="120"/>
      <c r="Q57" s="120"/>
      <c r="R57" s="120"/>
      <c r="S57" s="120"/>
      <c r="T57" s="120"/>
      <c r="U57" s="120"/>
      <c r="V57" s="120"/>
      <c r="W57" s="120"/>
      <c r="X57" s="120"/>
    </row>
    <row r="58" spans="1:24" ht="20.100000000000001" customHeight="1" x14ac:dyDescent="0.25">
      <c r="D58" s="117"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8" t="s">
        <v>540</v>
      </c>
      <c r="E59" s="118" t="s">
        <v>562</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7" t="s">
        <v>258</v>
      </c>
      <c r="N60" s="107"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5.0599999999999999E-2</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4" t="str" cm="1">
        <f t="array" ref="M67:N74">_xlfn.CHOOSECOLS(Fertiliser_Equations_InorganicN2O.VEERG_5_1_1_1__1_InorganicFertiliserApplicationN2OEmissions_Arguments_Method2(), 1, 2)</f>
        <v>MN_jf</v>
      </c>
      <c r="N67" s="125" t="str">
        <v>mass of nitrogen in inorganic fertiliser type f applied to production system j</v>
      </c>
      <c r="O67" s="170"/>
      <c r="P67" s="173"/>
      <c r="Q67" s="124" t="str" cm="1">
        <f t="array" ref="Q67:R74">_xlfn.CHOOSECOLS(Fertiliser_Equations_InorganicN2O.VEERG_5_1_1_1__1_InorganicFertiliserApplicationN2OEmissions_Arguments_Method2(), 3,4)</f>
        <v>kg N</v>
      </c>
      <c r="R67" s="114" t="str">
        <v>Calculated from 5.1.1.1 (2)</v>
      </c>
      <c r="S67" s="115"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4" t="str">
        <v>EF_jN2O</v>
      </c>
      <c r="N68" s="125" t="str">
        <v>emission factor for nitrous oxide for inorganic fertilisers</v>
      </c>
      <c r="O68" s="170"/>
      <c r="P68" s="173"/>
      <c r="Q68" s="124" t="str">
        <v>kg N2O-N/kg N applied</v>
      </c>
      <c r="R68" s="114" t="str">
        <v>Calculated from 5.1.1.2 (1)(2)(3)</v>
      </c>
      <c r="S68" s="124"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4" t="str">
        <v>C_N2O</v>
      </c>
      <c r="N69" s="125" t="str">
        <v>factor to convert elemental mass of nitrous oxide to molecular mass</v>
      </c>
      <c r="O69" s="170"/>
      <c r="P69" s="173"/>
      <c r="Q69" s="124" t="str">
        <v/>
      </c>
      <c r="R69" s="114" t="str">
        <v>Constant</v>
      </c>
      <c r="S69" s="124">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4" t="str">
        <v>j</v>
      </c>
      <c r="N70" s="125" t="str">
        <v>Production system</v>
      </c>
      <c r="O70" s="170"/>
      <c r="P70" s="173"/>
      <c r="Q70" s="124" t="str">
        <v/>
      </c>
      <c r="R70" s="113" t="str">
        <v>Input</v>
      </c>
      <c r="S70" s="124"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4" t="str">
        <v>c</v>
      </c>
      <c r="N71" s="125" t="str">
        <v>Crop type</v>
      </c>
      <c r="O71" s="170"/>
      <c r="P71" s="173"/>
      <c r="Q71" s="124" t="str">
        <v/>
      </c>
      <c r="R71" s="113" t="str">
        <v>Input</v>
      </c>
      <c r="S71" s="124"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4" t="str">
        <v>f</v>
      </c>
      <c r="N72" s="125" t="str">
        <v>Inorganic fertiliser type</v>
      </c>
      <c r="O72" s="170"/>
      <c r="P72" s="173"/>
      <c r="Q72" s="124" t="str">
        <v/>
      </c>
      <c r="R72" s="114" t="str">
        <v>Constant</v>
      </c>
      <c r="S72" s="124" t="s">
        <v>563</v>
      </c>
    </row>
    <row r="73" spans="4:19" ht="20.100000000000001" customHeight="1" x14ac:dyDescent="0.25">
      <c r="D73" s="25" t="str">
        <v>Zinc - Generic</v>
      </c>
      <c r="E73" s="25" cm="1">
        <f t="array" ref="E73">Fertiliser_Equations_InorganicN2O.VEERG_5_1_1_1__1_InorganicFertiliserApplicationN2OEmissions(G32,$I$50,$I$51)</f>
        <v>0</v>
      </c>
      <c r="M73" s="124" t="str">
        <v>ir</v>
      </c>
      <c r="N73" s="125" t="str">
        <v>irrigation method</v>
      </c>
      <c r="O73" s="170"/>
      <c r="P73" s="173"/>
      <c r="Q73" s="124" t="str">
        <v/>
      </c>
      <c r="R73" s="113" t="str">
        <v>Input</v>
      </c>
      <c r="S73" s="124"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5" t="str">
        <v>z</v>
      </c>
      <c r="N74" s="125" t="str">
        <v>rainfall zone</v>
      </c>
      <c r="O74" s="170"/>
      <c r="P74" s="170"/>
      <c r="Q74" s="124" t="str">
        <v/>
      </c>
      <c r="R74" s="113" t="str">
        <v>Input</v>
      </c>
      <c r="S74" s="124"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8" t="s">
        <v>551</v>
      </c>
      <c r="N76" s="118" t="s">
        <v>551</v>
      </c>
      <c r="O76" s="118" t="s">
        <v>564</v>
      </c>
      <c r="P76" s="118"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21" t="s">
        <v>565</v>
      </c>
      <c r="E80" s="122">
        <f>SUM(E60:E78)</f>
        <v>0.1431067</v>
      </c>
      <c r="F80" s="123"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4" t="str" cm="1">
        <f t="array" ref="D82:E83">Common_Equations.Common_ConvertN2OToCO2e_Arguments()</f>
        <v>EN2O</v>
      </c>
      <c r="E82" s="125" t="str">
        <v>Nitrous oxide emissions (t N2O)</v>
      </c>
      <c r="F82" s="126"/>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4" t="str">
        <v>GWPN2O</v>
      </c>
      <c r="E83" s="125" t="str">
        <v>Global warming potential for nitrous oxide (t CO2-e / t N2O)</v>
      </c>
      <c r="F83" s="126"/>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20" t="s">
        <v>298</v>
      </c>
      <c r="E85" s="120" cm="1">
        <f t="array" ref="E85">Common_Equations.Common_ConvertN2OToCO2e(G82,G83)</f>
        <v>37.923275500000003</v>
      </c>
      <c r="F85" s="127"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21" t="s">
        <v>565</v>
      </c>
      <c r="N88" s="122">
        <f>SUM(P77:P86)</f>
        <v>0.1431067</v>
      </c>
      <c r="O88" s="123" t="str">
        <f>$E$47</f>
        <v>t N2O</v>
      </c>
    </row>
    <row r="89" spans="4:16" ht="20.100000000000001" customHeight="1" x14ac:dyDescent="0.25"/>
    <row r="90" spans="4:16" ht="20.100000000000001" customHeight="1" x14ac:dyDescent="0.25">
      <c r="M90" s="124" t="str" cm="1">
        <f t="array" ref="M90:N91">Common_Equations.Common_ConvertN2OToCO2e_Arguments()</f>
        <v>EN2O</v>
      </c>
      <c r="N90" s="125" t="str">
        <v>Nitrous oxide emissions (t N2O)</v>
      </c>
      <c r="O90" s="126"/>
      <c r="P90" s="25">
        <f>N88</f>
        <v>0.1431067</v>
      </c>
    </row>
    <row r="91" spans="4:16" ht="20.100000000000001" customHeight="1" x14ac:dyDescent="0.25">
      <c r="M91" s="124" t="str">
        <v>GWPN2O</v>
      </c>
      <c r="N91" s="125" t="str">
        <v>Global warming potential for nitrous oxide (t CO2-e / t N2O)</v>
      </c>
      <c r="O91" s="126"/>
      <c r="P91" s="25">
        <f>Common_InputFunctions.Utility_LookupValueInTableNumber("N2O",Table_GWPData[Gas],Table_GWPData[CO2-e factor])</f>
        <v>265</v>
      </c>
    </row>
    <row r="92" spans="4:16" ht="20.100000000000001" customHeight="1" x14ac:dyDescent="0.25"/>
    <row r="93" spans="4:16" ht="20.100000000000001" customHeight="1" x14ac:dyDescent="0.25">
      <c r="M93" s="120" t="s">
        <v>298</v>
      </c>
      <c r="N93" s="120" cm="1">
        <f t="array" ref="N93">Common_Equations.Common_ConvertN2OToCO2e(P90,P91)</f>
        <v>37.923275500000003</v>
      </c>
      <c r="O93" s="127"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A5FB1AB9-84CF-46DF-8178-748B8008E4C8}"/>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7151-7598-4DD2-A55E-9475A46D55E6}">
  <dimension ref="A1:U165"/>
  <sheetViews>
    <sheetView showGridLines="0" topLeftCell="A51"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7" t="s">
        <v>258</v>
      </c>
      <c r="E7" s="107"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260</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132</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24" t="str" cm="1">
        <f t="array" ref="D13:E14">_xlfn.CHOOSECOLS(Fertiliser_Equations_InorganicCO2.VEERG_5_1_1_3__2_MassOfUreaInInorganicFertiliser_Arguments(), 1, 2)</f>
        <v>TM_jf</v>
      </c>
      <c r="E13" s="125" t="str">
        <v>total mass of inorganic fertiliser type f applied to production system j</v>
      </c>
      <c r="F13" s="173"/>
      <c r="G13" s="124"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100000000000001" customHeight="1" x14ac:dyDescent="0.25">
      <c r="A14" s="5" t="str">
        <f>HYPERLINK("#'Input - Fertiliser'!A1", "Fertiliser")</f>
        <v>Fertiliser</v>
      </c>
      <c r="D14" s="124" t="str">
        <v>FU_f</v>
      </c>
      <c r="E14" s="125" t="str">
        <v>fraction of urea in fertiliser type f</v>
      </c>
      <c r="F14" s="173"/>
      <c r="G14" s="124" t="str">
        <v>kg urea/kg</v>
      </c>
      <c r="H14" s="114" t="str">
        <v>Lookup</v>
      </c>
      <c r="I14" s="115" t="str" cm="1">
        <f t="array" aca="1" ref="I14" ca="1">HYPERLINK(Common_InputFunctions.Utility_SourceHyperlink($D$16), $D$16)</f>
        <v>Table_MU_j_f</v>
      </c>
    </row>
    <row r="15" spans="1:21" ht="20.100000000000001" customHeight="1" x14ac:dyDescent="0.25">
      <c r="A15" s="5" t="str">
        <f>HYPERLINK("#'Input - Fuel'!A1", "Fuel")</f>
        <v>Fuel</v>
      </c>
    </row>
    <row r="16" spans="1:21" ht="20.100000000000001" customHeight="1" x14ac:dyDescent="0.25">
      <c r="A16" s="5" t="str">
        <f>HYPERLINK("#'Input - Electricity'!A1", "Electricity")</f>
        <v>Electricity</v>
      </c>
      <c r="D16" s="116" t="s">
        <v>567</v>
      </c>
    </row>
    <row r="17" spans="1:7" ht="20.100000000000001" customHeight="1" x14ac:dyDescent="0.25">
      <c r="A17" s="5" t="str">
        <f>HYPERLINK("#'Input - Farm Inputs'!A1", "Farm Inputs")</f>
        <v>Farm Inputs</v>
      </c>
      <c r="D17" s="117" t="s">
        <v>568</v>
      </c>
    </row>
    <row r="18" spans="1:7" ht="20.100000000000001" customHeight="1" x14ac:dyDescent="0.25">
      <c r="A18" s="5" t="str">
        <f>HYPERLINK("#'Input - Freight'!A1", "Freight")</f>
        <v>Freight</v>
      </c>
      <c r="D18" s="118" t="s">
        <v>540</v>
      </c>
      <c r="E18" s="119" t="s">
        <v>541</v>
      </c>
      <c r="F18" s="118" t="s">
        <v>569</v>
      </c>
      <c r="G18" s="118" t="s">
        <v>570</v>
      </c>
    </row>
    <row r="19" spans="1:7"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Solid waste'!A1", "Solid waste")</f>
        <v>Solid waste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6" t="s">
        <v>2</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HYPERLINK("#'3.2.1.1-2 Enteric Methane'!A1", "3.2.1.1-2 Enteric methane")</f>
        <v>3.2.1.1-2 Enteric methane</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HYPERLINK("#'4.2.1.1-2 Methane'!A1", "4.2.1.1-2 Manure methane")</f>
        <v>4.2.1.1-2 Manure methane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HYPERLINK("#'4.2.1.3-4 Soil direct N20'!A1", "4.2.1.3-4 Soil direct N2O")</f>
        <v>4.2.1.3-4 Soil direct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HYPERLINK("#'4.2.1.5-6 Soil Atmos Dep'!A1", "4.2.1.5-6 Soil atm. deposition")</f>
        <v>4.2.1.5-6 Soil atm. deposition</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HYPERLINK("#'4.2.1.7-8 Soil leach runoff'!A1", "4.2.1.7-8 Soil leach &amp; runoff")</f>
        <v>4.2.1.7-8 Soil leach &amp; runoff</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HYPERLINK("#'5.1.1.1-2 Inorganic fert N2O'!A1", "5.1.1.1-2 Inorganic fert N2O")</f>
        <v>5.1.1.1-2 Inorganic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108" t="str">
        <f>HYPERLINK("#'5.1.1.3-4 Inorganic fert CO2'!A1", "5.1.1.3-4 Inorganic fert CO2")</f>
        <v>5.1.1.3-4 Inorganic fert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HYPERLINK("#'5.2.1.1-2 Organic Fert N2O'!A1", "5.2.1.1-2 Organic fert N2O")</f>
        <v>5.2.1.1-2 Organic fert N2O</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HYPERLINK("#'5.3.1.1-2 Lime CO2'!A1", "5.3.1.1-2 Lime CO2")</f>
        <v>5.3.1.1-2 Lime CO2</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HYPERLINK("#'5.4.1.1-4 Atmos deposition'!A1", "5.4.1.1-4 Atmos. deposition")</f>
        <v>5.4.1.1-4 Atmos. deposition</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HYPERLINK("#'5.5.1.1-2 Leaching and runoff'!A1", "5.5.1.1-2 Leaching &amp; runoff")</f>
        <v>5.5.1.1-2 Leaching &amp; runoff</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HYPERLINK("#'6.2.1.1-2 Pasture residue N2O'!A1", "6.2.1.1-2 Pasture residue N2O")</f>
        <v>6.2.1.1-2 Pasture residue N2O</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HYPERLINK("#'6.3.1.1-2 Leach runoff pasture'!A1", "6.3.1.1-2 Leach &amp; runoff (pasture)")</f>
        <v>6.3.1.1-2 Leach &amp; runoff (pasture)</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HYPERLINK("#'8.1.1.1-2 Transport fuel'!A1", "8.1.1.1-2 Transport fuel")</f>
        <v>8.1.1.1-2 Transport fuel</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HYPERLINK("#'8.2.1.1-2 Stationary fuel'!A1", "8.2.1.1-2 Stationary fuel")</f>
        <v>8.2.1.1-2 Stationary fuel</v>
      </c>
    </row>
    <row r="39" spans="1:12" ht="20.100000000000001" customHeight="1" x14ac:dyDescent="0.25">
      <c r="A39" s="5" t="str">
        <f>HYPERLINK("#'14.1.1-2 Purchased electricity'!A1", "14.1.1-2 Purchased electricity")</f>
        <v>14.1.1-2 Purchased electricity</v>
      </c>
    </row>
    <row r="40" spans="1:12" ht="20.100000000000001" customHeight="1" x14ac:dyDescent="0.25">
      <c r="A40" s="5" t="str">
        <f>HYPERLINK("#'15 Scope 3'!A1", "15 Scope 3")</f>
        <v>15 Scope 3</v>
      </c>
      <c r="C40" s="120"/>
      <c r="D40" s="120"/>
      <c r="E40" s="120"/>
      <c r="F40" s="120"/>
      <c r="G40" s="120"/>
      <c r="H40" s="120"/>
      <c r="I40" s="120"/>
      <c r="J40" s="120"/>
      <c r="K40" s="120"/>
      <c r="L40" s="120"/>
    </row>
    <row r="41" spans="1:12" ht="20.100000000000001" customHeight="1" x14ac:dyDescent="0.25">
      <c r="A41" s="5" t="str">
        <f>HYPERLINK("#'Calcs - Manure sent off-site'!A1", "Calcs - Manure sent off-site")</f>
        <v>Calcs - Manure sent off-site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HYPERLINK("#'10.1.1-2 Solid waste treatment'!A1", "10.1.1-2 Solid waste treatment")</f>
        <v>10.1.1-2 Solid waste treatment</v>
      </c>
      <c r="D42" s="27" t="str" cm="1">
        <f t="array" ref="D42">Fertiliser_Equations_InorganicCO2.VEERG_5_1_1_3__1_InorganicFertiliserApplicationCO2Emissions_Source()</f>
        <v>VEERG 2026: 5.1.1.3, Equation (1)</v>
      </c>
    </row>
    <row r="43" spans="1:12" ht="20.100000000000001" customHeight="1" x14ac:dyDescent="0.25">
      <c r="D43" s="107" t="s">
        <v>258</v>
      </c>
      <c r="E43" s="107"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c r="A45" s="94" t="s">
        <v>1</v>
      </c>
    </row>
    <row r="46" spans="1:12" ht="20.100000000000001" customHeight="1" x14ac:dyDescent="0.25">
      <c r="A46" s="5" t="str">
        <f>HYPERLINK("#'Constants - Pasture Beef'!A1", "Constants - Pasture Beef")</f>
        <v>Constants - Pasture Beef</v>
      </c>
      <c r="D46" s="88" t="s">
        <v>260</v>
      </c>
      <c r="E46" s="1" t="str" cm="1">
        <f t="array" ref="E46">Fertiliser_Equations_InorganicCO2.VEERG_5_1_1_3__1_InorganicFertiliserApplicationCO2Emissions_Variable()</f>
        <v>E_CO2</v>
      </c>
    </row>
    <row r="47" spans="1:12" ht="20.100000000000001" customHeight="1" x14ac:dyDescent="0.25">
      <c r="A47" s="5" t="str">
        <f>HYPERLINK("#'Constants - Ag Residue'!A1", "Constants - Ag residue")</f>
        <v>Constants - Ag residue</v>
      </c>
      <c r="D47" s="88" t="s">
        <v>132</v>
      </c>
      <c r="E47" s="15" t="str" cm="1">
        <f t="array" ref="E47">Fertiliser_Equations_InorganicCO2.VEERG_5_1_1_3__1_InorganicFertiliserApplicationCO2Emissions_Unit()</f>
        <v>t CO2</v>
      </c>
    </row>
    <row r="48" spans="1:12" ht="20.100000000000001" customHeight="1" x14ac:dyDescent="0.25">
      <c r="A48" s="5" t="str">
        <f>HYPERLINK("#'Constants - Common Livestock'!A1", "Constants - Common Livestock")</f>
        <v>Constants - Common Livestock</v>
      </c>
    </row>
    <row r="49" spans="1:9" ht="20.100000000000001" customHeight="1" x14ac:dyDescent="0.25">
      <c r="A49" s="5" t="str">
        <f>HYPERLINK("#'Constants - Electricity'!A1", "Constants - Electricity")</f>
        <v>Constants - Electricity</v>
      </c>
      <c r="D49" s="124" t="str" cm="1">
        <f t="array" ref="D49:E53">_xlfn.CHOOSECOLS(Fertiliser_Equations_InorganicCO2.VEERG_5_1_1_3__1_InorganicFertiliserApplicationCO2Emissions_Arguments(), 1, 2)</f>
        <v>MU_jf</v>
      </c>
      <c r="E49" s="125" t="str">
        <v>mass of urea of inorganic fertiliser type f applied to production system j</v>
      </c>
      <c r="F49" s="173"/>
      <c r="G49" s="124"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100000000000001" customHeight="1" x14ac:dyDescent="0.25">
      <c r="A50" s="5" t="str">
        <f>HYPERLINK("#'Constants - Fertiliser'!A1", "Constants - Fertiliser")</f>
        <v>Constants - Fertiliser</v>
      </c>
      <c r="D50" s="124" t="str">
        <v>EF_ureaCO2</v>
      </c>
      <c r="E50" s="125" t="str">
        <v>emission factor for carbon emissions from urea-based fertilisers</v>
      </c>
      <c r="F50" s="173"/>
      <c r="G50" s="124" t="str">
        <v>kg C/kg urea</v>
      </c>
      <c r="H50" s="114" t="str">
        <v>Constant</v>
      </c>
      <c r="I50" s="124">
        <f>'Constants - Fertiliser'!$E$60</f>
        <v>0.2</v>
      </c>
    </row>
    <row r="51" spans="1:9" ht="20.100000000000001" customHeight="1" x14ac:dyDescent="0.25">
      <c r="A51" s="5" t="str">
        <f>HYPERLINK("#'Constants - Fuel'!A1", "Constants - Fuel")</f>
        <v>Constants - Fuel</v>
      </c>
      <c r="D51" s="124" t="str">
        <v>C_CO2</v>
      </c>
      <c r="E51" s="125" t="str">
        <v>factor to convert elemental mass of carbon to molecular mass of carbon dioxide</v>
      </c>
      <c r="F51" s="173"/>
      <c r="G51" s="124" t="str">
        <v/>
      </c>
      <c r="H51" s="114" t="str">
        <v>Constant</v>
      </c>
      <c r="I51" s="124">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Scope 3'!A1", "Constants - Scope 3")</f>
        <v>Constants - Scope 3</v>
      </c>
      <c r="D52" s="124" t="str">
        <v>j</v>
      </c>
      <c r="E52" s="125" t="str">
        <v>Production system</v>
      </c>
      <c r="F52" s="173"/>
      <c r="G52" s="124" t="str">
        <v/>
      </c>
      <c r="H52" s="113" t="str">
        <v>Input</v>
      </c>
      <c r="I52" s="124" t="str">
        <f>X_Cell_Fertiliser_ProductionSystem</f>
        <v>Crop</v>
      </c>
    </row>
    <row r="53" spans="1:9" ht="20.100000000000001" customHeight="1" x14ac:dyDescent="0.25">
      <c r="A53" s="5" t="str">
        <f>HYPERLINK("#'Constants - Common'!A1", "Constants - Common")</f>
        <v>Constants - Common</v>
      </c>
      <c r="D53" s="124" t="str">
        <v>f</v>
      </c>
      <c r="E53" s="125" t="str">
        <v>Inorganic fertiliser type</v>
      </c>
      <c r="F53" s="173"/>
      <c r="G53" s="124" t="str">
        <v/>
      </c>
      <c r="H53" s="114" t="str">
        <v>Lookup</v>
      </c>
      <c r="I53" s="115" t="str" cm="1">
        <f t="array" aca="1" ref="I53" ca="1">HYPERLINK(Common_InputFunctions.Utility_SourceHyperlink($D$16), $D$16)</f>
        <v>Table_MU_j_f</v>
      </c>
    </row>
    <row r="54" spans="1:9" ht="20.100000000000001" customHeight="1" x14ac:dyDescent="0.25">
      <c r="A54" s="5" t="str">
        <f>HYPERLINK("#'Acknowledgements'!A1", "Acknowledgements")</f>
        <v>Acknowledgements</v>
      </c>
    </row>
    <row r="55" spans="1:9" ht="20.100000000000001" customHeight="1" x14ac:dyDescent="0.25">
      <c r="A55" s="5" t="str">
        <f>HYPERLINK("#'Constants - Solid Waste'!A1", "Constants - Solid Waste")</f>
        <v>Constants - Solid Waste</v>
      </c>
      <c r="D55" s="116" t="s">
        <v>571</v>
      </c>
    </row>
    <row r="56" spans="1:9" ht="20.100000000000001" customHeight="1" x14ac:dyDescent="0.25">
      <c r="D56" s="117" t="s">
        <v>572</v>
      </c>
    </row>
    <row r="57" spans="1:9" ht="20.100000000000001" customHeight="1" x14ac:dyDescent="0.25">
      <c r="D57" s="118" t="s">
        <v>540</v>
      </c>
      <c r="E57" s="118" t="s">
        <v>562</v>
      </c>
    </row>
    <row r="58" spans="1: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7.333333333333333</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21" t="s">
        <v>573</v>
      </c>
      <c r="E78" s="122">
        <f>SUM(E58:E76)</f>
        <v>7.333333333333333</v>
      </c>
      <c r="F78" s="123"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3DD0-E358-4DE6-9934-D80BB120EF15}">
  <dimension ref="A1:U165"/>
  <sheetViews>
    <sheetView showGridLines="0" topLeftCell="A39"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7" t="s">
        <v>258</v>
      </c>
      <c r="E7" s="107"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132</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24" t="str" cm="1">
        <f t="array" ref="D13:E15">_xlfn.CHOOSECOLS(Fertiliser_Equations_OrganicN2O.VEERG_5_2_1_1__2_MassOfNitrogenInOrganicFertiliser_Arguments(), 1, 2)</f>
        <v>M_organicjf</v>
      </c>
      <c r="E13" s="125" t="str">
        <v>mass of organic fertiliser type f applied to production system j</v>
      </c>
      <c r="F13" s="173"/>
      <c r="G13" s="109"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100000000000001" customHeight="1" x14ac:dyDescent="0.25">
      <c r="A14" s="5" t="str">
        <f>HYPERLINK("#'Input - Fertiliser'!A1", "Fertiliser")</f>
        <v>Fertiliser</v>
      </c>
      <c r="D14" s="124" t="str">
        <v>FN_organicf</v>
      </c>
      <c r="E14" s="125" t="str">
        <v>nitrogen fraction of organic fertiliser type f</v>
      </c>
      <c r="F14" s="173"/>
      <c r="G14" s="109" t="str">
        <v>kg N/kg</v>
      </c>
      <c r="H14" s="113" t="str">
        <v>Input</v>
      </c>
      <c r="I14" s="115" t="str" cm="1">
        <f t="array" aca="1" ref="I14" ca="1">HYPERLINK(Common_InputFunctions.Utility_SourceHyperlink($D$17), $D$17)</f>
        <v>Table_MNSoil_j_f</v>
      </c>
    </row>
    <row r="15" spans="1:21" ht="20.100000000000001" customHeight="1" x14ac:dyDescent="0.25">
      <c r="A15" s="5" t="str">
        <f>HYPERLINK("#'Input - Fuel'!A1", "Fuel")</f>
        <v>Fuel</v>
      </c>
      <c r="D15" s="124" t="str">
        <v>f</v>
      </c>
      <c r="E15" s="125" t="str">
        <v>Organic fertiliser type</v>
      </c>
      <c r="F15" s="173"/>
      <c r="G15" s="109" t="str">
        <v/>
      </c>
      <c r="H15" s="113" t="str">
        <v>Input</v>
      </c>
      <c r="I15" s="115" t="str" cm="1">
        <f t="array" aca="1" ref="I15" ca="1">HYPERLINK(Common_InputFunctions.Utility_SourceHyperlink($D$17), $D$17)</f>
        <v>Table_MNSoil_j_f</v>
      </c>
    </row>
    <row r="16" spans="1:21" ht="20.100000000000001" customHeight="1" x14ac:dyDescent="0.25">
      <c r="A16" s="5" t="str">
        <f>HYPERLINK("#'Input - Electricity'!A1", "Electricity")</f>
        <v>Electricity</v>
      </c>
    </row>
    <row r="17" spans="1:10" ht="20.100000000000001" customHeight="1" x14ac:dyDescent="0.25">
      <c r="A17" s="5" t="str">
        <f>HYPERLINK("#'Input - Farm Inputs'!A1", "Farm Inputs")</f>
        <v>Farm Inputs</v>
      </c>
      <c r="D17" s="116" t="s">
        <v>575</v>
      </c>
    </row>
    <row r="18" spans="1:10" ht="20.100000000000001" customHeight="1" x14ac:dyDescent="0.25">
      <c r="A18" s="5" t="str">
        <f>HYPERLINK("#'Input - Freight'!A1", "Freight")</f>
        <v>Freight</v>
      </c>
      <c r="D18" s="117" t="s">
        <v>576</v>
      </c>
    </row>
    <row r="19" spans="1:10" ht="20.100000000000001" customHeight="1" x14ac:dyDescent="0.25">
      <c r="A19" s="5" t="str">
        <f>HYPERLINK("#'Input - Manure sent off-site'!A1", "Manure sent off-site")</f>
        <v>Manure sent off-site</v>
      </c>
      <c r="D19" s="119" t="s">
        <v>577</v>
      </c>
      <c r="E19" s="119" t="s">
        <v>578</v>
      </c>
      <c r="F19" s="119" t="s">
        <v>479</v>
      </c>
      <c r="G19" s="175" t="s">
        <v>579</v>
      </c>
      <c r="H19" s="175" t="s">
        <v>580</v>
      </c>
      <c r="I19" s="175" t="s">
        <v>581</v>
      </c>
    </row>
    <row r="20" spans="1:10" ht="20.100000000000001" customHeight="1" x14ac:dyDescent="0.25">
      <c r="A20" s="5" t="str">
        <f>HYPERLINK("#'Input - Solid waste'!A1", "Solid waste")</f>
        <v>Solid waste</v>
      </c>
      <c r="D20" s="25" t="str" cm="1">
        <f t="array" ref="D20:D22">Table_Input_OrganicFertiliser[Organic fertiliser type (select)]</f>
        <v>Manure - Other</v>
      </c>
      <c r="E20" s="176" cm="1">
        <f t="array" ref="E20:E22">Table_Input_OrganicFertiliser[Amount applied (kg/hectare)]</f>
        <v>10</v>
      </c>
      <c r="F20" s="176" cm="1">
        <f t="array" ref="F20:F22">Table_Input_OrganicFertiliser[Application area (ha)]</f>
        <v>100</v>
      </c>
      <c r="G20" s="25" cm="1">
        <f t="array" ref="G20:G22">Table_Input_OrganicFertiliser[Amount applied (kg/hectare)]*Table_Input_OrganicFertiliser[Application area (ha)]</f>
        <v>1000</v>
      </c>
      <c r="H20" s="177"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6" t="s">
        <v>2</v>
      </c>
      <c r="D23" s="25"/>
      <c r="E23" s="25"/>
      <c r="F23" s="25"/>
      <c r="G23" s="25"/>
      <c r="H23" s="25"/>
      <c r="I23" s="25" cm="1">
        <f t="array" ref="I23">Fertiliser_Equations_Organic.VEERG_5_2_1_1__2_MassOfNitrogenInOrganicFertiliser(G23,H23)</f>
        <v>0</v>
      </c>
    </row>
    <row r="24" spans="1:10" ht="20.100000000000001" customHeight="1" x14ac:dyDescent="0.25">
      <c r="A24" s="5" t="str">
        <f>HYPERLINK("#'3.2.1.1-2 Enteric Methane'!A1", "3.2.1.1-2 Enteric methane")</f>
        <v>3.2.1.1-2 Enteric methane</v>
      </c>
      <c r="D24" s="25"/>
      <c r="E24" s="25"/>
      <c r="F24" s="25"/>
      <c r="G24" s="25"/>
      <c r="H24" s="25"/>
      <c r="I24" s="25" cm="1">
        <f t="array" ref="I24">Fertiliser_Equations_Organic.VEERG_5_2_1_1__2_MassOfNitrogenInOrganicFertiliser(G24,H24)</f>
        <v>0</v>
      </c>
    </row>
    <row r="25" spans="1:10" ht="20.100000000000001" customHeight="1" x14ac:dyDescent="0.25">
      <c r="A25" s="5" t="str">
        <f>HYPERLINK("#'4.2.1.1-2 Methane'!A1", "4.2.1.1-2 Manure methane")</f>
        <v>4.2.1.1-2 Manure methane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HYPERLINK("#'4.2.1.3-4 Soil direct N20'!A1", "4.2.1.3-4 Soil direct N2O")</f>
        <v>4.2.1.3-4 Soil direct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HYPERLINK("#'4.2.1.5-6 Soil Atmos Dep'!A1", "4.2.1.5-6 Soil atm. deposition")</f>
        <v>4.2.1.5-6 Soil atm. deposition</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HYPERLINK("#'4.2.1.7-8 Soil leach runoff'!A1", "4.2.1.7-8 Soil leach &amp; runoff")</f>
        <v>4.2.1.7-8 Soil leach &amp; runoff</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HYPERLINK("#'5.1.1.1-2 Inorganic fert N2O'!A1", "5.1.1.1-2 Inorganic fert N2O")</f>
        <v>5.1.1.1-2 Inorganic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HYPERLINK("#'5.1.1.3-4 Inorganic fert CO2'!A1", "5.1.1.3-4 Inorganic fert CO2")</f>
        <v>5.1.1.3-4 Inorganic fert CO2</v>
      </c>
      <c r="D30" s="25"/>
      <c r="E30" s="25"/>
      <c r="F30" s="25"/>
      <c r="G30" s="25"/>
      <c r="H30" s="25"/>
      <c r="I30" s="25" cm="1">
        <f t="array" ref="I30">Fertiliser_Equations_Organic.VEERG_5_2_1_1__2_MassOfNitrogenInOrganicFertiliser(G30,H30)</f>
        <v>0</v>
      </c>
    </row>
    <row r="31" spans="1:10" ht="20.100000000000001" customHeight="1" x14ac:dyDescent="0.25">
      <c r="A31" s="108" t="str">
        <f>HYPERLINK("#'5.2.1.1-2 Organic Fert N2O'!A1", "5.2.1.1-2 Organic fert N2O")</f>
        <v>5.2.1.1-2 Organic fert N2O</v>
      </c>
      <c r="D31" s="178"/>
      <c r="E31" s="178"/>
      <c r="F31" s="178"/>
      <c r="G31" s="178"/>
      <c r="H31" s="178"/>
      <c r="I31" s="178"/>
      <c r="J31" s="178"/>
    </row>
    <row r="32" spans="1:10" ht="20.100000000000001" customHeight="1" x14ac:dyDescent="0.25">
      <c r="A32" s="5" t="str">
        <f>HYPERLINK("#'5.3.1.1-2 Lime CO2'!A1", "5.3.1.1-2 Lime CO2")</f>
        <v>5.3.1.1-2 Lime CO2</v>
      </c>
      <c r="D32" s="132" t="s">
        <v>582</v>
      </c>
      <c r="E32" s="132">
        <f>SUM(I20:I30)</f>
        <v>710</v>
      </c>
      <c r="F32" s="179" t="str">
        <f>$E$11</f>
        <v>kg N</v>
      </c>
      <c r="G32" s="178"/>
      <c r="H32" s="178"/>
      <c r="I32" s="178"/>
      <c r="J32" s="178"/>
    </row>
    <row r="33" spans="1:12" ht="20.100000000000001" customHeight="1" x14ac:dyDescent="0.25">
      <c r="A33" s="5" t="str">
        <f>HYPERLINK("#'5.4.1.1-4 Atmos deposition'!A1", "5.4.1.1-4 Atmos. deposition")</f>
        <v>5.4.1.1-4 Atmos. deposition</v>
      </c>
    </row>
    <row r="34" spans="1:12" ht="20.100000000000001" customHeight="1" x14ac:dyDescent="0.25">
      <c r="A34" s="5" t="str">
        <f>HYPERLINK("#'5.5.1.1-2 Leaching and runoff'!A1", "5.5.1.1-2 Leaching &amp; runoff")</f>
        <v>5.5.1.1-2 Leaching &amp; runoff</v>
      </c>
    </row>
    <row r="35" spans="1:12" ht="20.100000000000001" customHeight="1" x14ac:dyDescent="0.25">
      <c r="A35" s="5" t="str">
        <f>HYPERLINK("#'6.2.1.1-2 Pasture residue N2O'!A1", "6.2.1.1-2 Pasture residue N2O")</f>
        <v>6.2.1.1-2 Pasture residue N2O</v>
      </c>
      <c r="C35" s="180"/>
      <c r="D35" s="180"/>
      <c r="E35" s="180"/>
      <c r="F35" s="180"/>
      <c r="G35" s="180"/>
      <c r="H35" s="180"/>
      <c r="I35" s="180"/>
      <c r="J35" s="180"/>
      <c r="K35" s="180"/>
      <c r="L35" s="180"/>
    </row>
    <row r="36" spans="1:12" ht="20.100000000000001" customHeight="1" x14ac:dyDescent="0.25">
      <c r="A36" s="5" t="str">
        <f>HYPERLINK("#'6.3.1.1-2 Leach runoff pasture'!A1", "6.3.1.1-2 Leach &amp; runoff (pasture)")</f>
        <v>6.3.1.1-2 Leach &amp; runoff (pasture)</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HYPERLINK("#'8.1.1.1-2 Transport fuel'!A1", "8.1.1.1-2 Transport fuel")</f>
        <v>8.1.1.1-2 Transport fuel</v>
      </c>
      <c r="D37" s="27" t="str" cm="1">
        <f t="array" ref="D37">Fertiliser_Equations_OrganicN2O.VEERG_5_2_1_1__1_OrganicFertiliserApplicationN2OEmissions_Source()</f>
        <v>VEERG 2026: 5.2.1.1, Equation (1)</v>
      </c>
    </row>
    <row r="38" spans="1:12" ht="20.100000000000001" customHeight="1" x14ac:dyDescent="0.25">
      <c r="A38" s="5" t="str">
        <f>HYPERLINK("#'8.2.1.1-2 Stationary fuel'!A1", "8.2.1.1-2 Stationary fuel")</f>
        <v>8.2.1.1-2 Stationary fuel</v>
      </c>
      <c r="D38" s="107" t="s">
        <v>258</v>
      </c>
      <c r="E38" s="107" t="str" cm="1">
        <f t="array" aca="1" ref="E38" ca="1">Common_InputFunctions.Utility_DisplayFunctionName($I$20)</f>
        <v>=Fertiliser_Equations_OrganicN2O.VEERG_5_2_1_1__2_MassOfNitrogenInOrganicFertiliser</v>
      </c>
    </row>
    <row r="39" spans="1:12" ht="20.100000000000001" customHeight="1" x14ac:dyDescent="0.25">
      <c r="A39" s="5" t="str">
        <f>HYPERLINK("#'14.1.1-2 Purchased electricity'!A1", "14.1.1-2 Purchased electricity")</f>
        <v>14.1.1-2 Purchased electricity</v>
      </c>
    </row>
    <row r="40" spans="1:12" ht="20.100000000000001" customHeight="1" x14ac:dyDescent="0.25">
      <c r="A40" s="5" t="str">
        <f>HYPERLINK("#'15 Scope 3'!A1", "15 Scope 3")</f>
        <v>15 Scope 3</v>
      </c>
    </row>
    <row r="41" spans="1:12" ht="20.100000000000001" customHeight="1" x14ac:dyDescent="0.25">
      <c r="A41" s="5" t="str">
        <f>HYPERLINK("#'Calcs - Manure sent off-site'!A1", "Calcs - Manure sent off-site")</f>
        <v>Calcs - Manure sent off-site</v>
      </c>
      <c r="D41" s="88" t="s">
        <v>260</v>
      </c>
      <c r="E41" s="1" t="str" cm="1">
        <f t="array" ref="E41">Fertiliser_Equations_OrganicN2O.VEERG_5_2_1_1__1_OrganicFertiliserApplicationN2OEmissions_Variable()</f>
        <v>E_N2O</v>
      </c>
    </row>
    <row r="42" spans="1:12" ht="20.100000000000001" customHeight="1" x14ac:dyDescent="0.25">
      <c r="A42" s="5" t="str">
        <f>HYPERLINK("#'10.1.1-2 Solid waste treatment'!A1", "10.1.1-2 Solid waste treatment")</f>
        <v>10.1.1-2 Solid waste treatment</v>
      </c>
      <c r="D42" s="88" t="s">
        <v>132</v>
      </c>
      <c r="E42" s="15"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09" t="str" cm="1">
        <f t="array" ref="D44:E48">_xlfn.CHOOSECOLS(Fertiliser_Equations_OrganicN2O.VEERG_5_2_1_1__1_OrganicFertiliserApplicationN2OEmissions_Arguments(), 1, 2)</f>
        <v>MNSoil_jf</v>
      </c>
      <c r="E44" s="110" t="str">
        <v>mass of nitrogen in organic fertiliser type f applied to production system j</v>
      </c>
      <c r="F44" s="111"/>
      <c r="G44" s="111"/>
      <c r="H44" s="112"/>
      <c r="I44" s="109" t="str" cm="1">
        <f t="array" ref="I44:J48">_xlfn.CHOOSECOLS(Fertiliser_Equations_OrganicN2O.VEERG_5_2_1_1__1_OrganicFertiliserApplicationN2OEmissions_Arguments(), 3,4)</f>
        <v>kg N</v>
      </c>
      <c r="J44" s="114" t="str">
        <v>Calculated from 5.2.1.1 (2)</v>
      </c>
      <c r="K44" s="109">
        <f>$E$32</f>
        <v>710</v>
      </c>
    </row>
    <row r="45" spans="1:12" ht="20.100000000000001" customHeight="1" x14ac:dyDescent="0.25">
      <c r="A45" s="94" t="s">
        <v>1</v>
      </c>
      <c r="D45" s="109" t="str">
        <v>EF_N2Oi</v>
      </c>
      <c r="E45" s="110" t="str">
        <v>emission factor for direct nitrous oxide emissions from organic fertiliser applied to soils and aquatic systems in climate zone i</v>
      </c>
      <c r="F45" s="111"/>
      <c r="G45" s="111"/>
      <c r="H45" s="112"/>
      <c r="I45" s="109" t="str">
        <v>kg N2O-N/kg N</v>
      </c>
      <c r="J45" s="114" t="str">
        <v>Lookup</v>
      </c>
      <c r="K45" s="10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Pasture Beef'!A1", "Constants - Pasture Beef")</f>
        <v>Constants - Pasture Beef</v>
      </c>
      <c r="D46" s="109" t="str">
        <v>C_N2O</v>
      </c>
      <c r="E46" s="110" t="str">
        <v>factor to convert elemental mass of nitrous oxide to molecular mass</v>
      </c>
      <c r="F46" s="111"/>
      <c r="G46" s="111"/>
      <c r="H46" s="112"/>
      <c r="I46" s="109" t="str">
        <v/>
      </c>
      <c r="J46" s="114" t="str">
        <v>Constant</v>
      </c>
      <c r="K46" s="124">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Ag Residue'!A1", "Constants - Ag residue")</f>
        <v>Constants - Ag residue</v>
      </c>
      <c r="D47" s="109" t="str">
        <v>j</v>
      </c>
      <c r="E47" s="110" t="str">
        <v>Production system</v>
      </c>
      <c r="F47" s="111"/>
      <c r="G47" s="111"/>
      <c r="H47" s="112"/>
      <c r="I47" s="109" t="str">
        <v/>
      </c>
      <c r="J47" s="113" t="str">
        <v>Input</v>
      </c>
      <c r="K47" s="109" t="str">
        <f>X_Cell_Fertiliser_ProductionSystem</f>
        <v>Crop</v>
      </c>
    </row>
    <row r="48" spans="1:12" ht="20.100000000000001" customHeight="1" x14ac:dyDescent="0.25">
      <c r="A48" s="5" t="str">
        <f>HYPERLINK("#'Constants - Common Livestock'!A1", "Constants - Common Livestock")</f>
        <v>Constants - Common Livestock</v>
      </c>
      <c r="D48" s="109" t="str">
        <v>i</v>
      </c>
      <c r="E48" s="110" t="str">
        <v>Wet or dry climate zone</v>
      </c>
      <c r="F48" s="111"/>
      <c r="G48" s="111"/>
      <c r="H48" s="112"/>
      <c r="I48" s="109" t="str">
        <v/>
      </c>
      <c r="J48" s="113" t="str">
        <v>Input</v>
      </c>
      <c r="K48" s="109" t="str">
        <f>X_Cell_Site_WetOrDryClimateZone</f>
        <v>Dry climate zone</v>
      </c>
    </row>
    <row r="49" spans="1:7" ht="20.100000000000001" customHeight="1" x14ac:dyDescent="0.25">
      <c r="A49" s="5" t="str">
        <f>HYPERLINK("#'Constants - Electricity'!A1", "Constants - Electricity")</f>
        <v>Constants - Electricity</v>
      </c>
    </row>
    <row r="50" spans="1:7" ht="20.100000000000001" customHeight="1" x14ac:dyDescent="0.25">
      <c r="A50" s="5" t="str">
        <f>HYPERLINK("#'Constants - Fertiliser'!A1", "Constants - Fertiliser")</f>
        <v>Constants - Fertiliser</v>
      </c>
      <c r="D50" s="121" t="s">
        <v>565</v>
      </c>
      <c r="E50" s="122" cm="1">
        <f t="array" ref="E50">Fertiliser_Equations_OrganicN2O.VEERG_5_2_1_1__1_OrganicFertiliserApplicationN2OEmissions(K44,K45,K46)</f>
        <v>5.5785714285714293E-3</v>
      </c>
      <c r="F50" s="123" t="str">
        <f>$E$42</f>
        <v>t N2O</v>
      </c>
    </row>
    <row r="51" spans="1:7" ht="20.100000000000001" customHeight="1" x14ac:dyDescent="0.25">
      <c r="A51" s="5" t="str">
        <f>HYPERLINK("#'Constants - Fuel'!A1", "Constants - Fuel")</f>
        <v>Constants - Fuel</v>
      </c>
    </row>
    <row r="52" spans="1:7" ht="20.100000000000001" customHeight="1" x14ac:dyDescent="0.25">
      <c r="A52" s="5" t="str">
        <f>HYPERLINK("#'Constants - Scope 3'!A1", "Constants - Scope 3")</f>
        <v>Constants - Scope 3</v>
      </c>
      <c r="D52" s="124" t="str" cm="1">
        <f t="array" ref="D52:E53">Common_Equations.Common_ConvertN2OToCO2e_Arguments()</f>
        <v>EN2O</v>
      </c>
      <c r="E52" s="125" t="str">
        <v>Nitrous oxide emissions (t N2O)</v>
      </c>
      <c r="F52" s="126"/>
      <c r="G52" s="25">
        <f>E50</f>
        <v>5.5785714285714293E-3</v>
      </c>
    </row>
    <row r="53" spans="1:7" ht="20.100000000000001" customHeight="1" x14ac:dyDescent="0.25">
      <c r="A53" s="5" t="str">
        <f>HYPERLINK("#'Constants - Common'!A1", "Constants - Common")</f>
        <v>Constants - Common</v>
      </c>
      <c r="D53" s="124" t="str">
        <v>GWPN2O</v>
      </c>
      <c r="E53" s="125" t="str">
        <v>Global warming potential for nitrous oxide (t CO2-e / t N2O)</v>
      </c>
      <c r="F53" s="126"/>
      <c r="G53" s="25">
        <f>Common_InputFunctions.Utility_LookupValueInTableNumber("N2O",Table_GWPData[Gas],Table_GWPData[CO2-e factor])</f>
        <v>265</v>
      </c>
    </row>
    <row r="54" spans="1:7" ht="20.100000000000001" customHeight="1" x14ac:dyDescent="0.25">
      <c r="A54" s="5" t="str">
        <f>HYPERLINK("#'Acknowledgements'!A1", "Acknowledgements")</f>
        <v>Acknowledgements</v>
      </c>
    </row>
    <row r="55" spans="1:7" ht="20.100000000000001" customHeight="1" x14ac:dyDescent="0.25">
      <c r="A55" s="5" t="str">
        <f>HYPERLINK("#'Constants - Solid Waste'!A1", "Constants - Solid Waste")</f>
        <v>Constants - Solid Waste</v>
      </c>
      <c r="D55" s="120" t="s">
        <v>298</v>
      </c>
      <c r="E55" s="120" cm="1">
        <f t="array" ref="E55">Common_Equations.Common_ConvertN2OToCO2e(G52,G53)</f>
        <v>1.4783214285714288</v>
      </c>
      <c r="F55" s="127"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2E9FF-44F0-4FCB-85A2-FD3AB148CA11}">
  <dimension ref="A1:U165"/>
  <sheetViews>
    <sheetView showGridLines="0" topLeftCell="A9"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7" t="s">
        <v>258</v>
      </c>
      <c r="E7" s="107"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260</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132</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20">_xlfn.CHOOSECOLS(Fertiliser_Equations_Lime.VEERG_5_3_1_1__1_LimeApplicationCO2Emissions_Arguments(), 1, 2)</f>
        <v>M_lime</v>
      </c>
      <c r="E13" s="110" t="str">
        <v>total mass of lime applied to production system</v>
      </c>
      <c r="F13" s="112"/>
      <c r="G13" s="109"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100000000000001" customHeight="1" x14ac:dyDescent="0.25">
      <c r="A14" s="5" t="str">
        <f>HYPERLINK("#'Input - Fertiliser'!A1", "Fertiliser")</f>
        <v>Fertiliser</v>
      </c>
      <c r="D14" s="109" t="str">
        <v>FracLime</v>
      </c>
      <c r="E14" s="110" t="str">
        <v>fraction of lime as limestone (CaCO3)</v>
      </c>
      <c r="F14" s="112"/>
      <c r="G14" s="109" t="str">
        <v>fraction</v>
      </c>
      <c r="H14" s="113" t="str">
        <v>Input</v>
      </c>
      <c r="I14" s="115" t="str" cm="1">
        <f t="array" aca="1" ref="I14" ca="1">HYPERLINK(Common_InputFunctions.Utility_SourceHyperlink($D$22), $D$22)</f>
        <v>Table_E_lime</v>
      </c>
    </row>
    <row r="15" spans="1:21" ht="20.100000000000001" customHeight="1" x14ac:dyDescent="0.25">
      <c r="A15" s="5" t="str">
        <f>HYPERLINK("#'Input - Fuel'!A1", "Fuel")</f>
        <v>Fuel</v>
      </c>
      <c r="D15" s="109" t="str">
        <v>P_lime</v>
      </c>
      <c r="E15" s="110" t="str">
        <v>fractional purity of limestone</v>
      </c>
      <c r="F15" s="112"/>
      <c r="G15" s="109" t="str">
        <v>fraction</v>
      </c>
      <c r="H15" s="114" t="str">
        <v>Constant</v>
      </c>
      <c r="I15" s="109">
        <f>'Constants - Fertiliser'!$E$66</f>
        <v>0.9</v>
      </c>
    </row>
    <row r="16" spans="1:21" ht="20.100000000000001" customHeight="1" x14ac:dyDescent="0.25">
      <c r="A16" s="5" t="str">
        <f>HYPERLINK("#'Input - Electricity'!A1", "Electricity")</f>
        <v>Electricity</v>
      </c>
      <c r="D16" s="109" t="str">
        <v>EF_lime</v>
      </c>
      <c r="E16" s="110" t="str">
        <v>emission factor for limestone fraction of lime</v>
      </c>
      <c r="F16" s="112"/>
      <c r="G16" s="109" t="str">
        <v>kg C/kg</v>
      </c>
      <c r="H16" s="114" t="str">
        <v>Constant</v>
      </c>
      <c r="I16" s="109">
        <f>'Constants - Fertiliser'!$F$66</f>
        <v>0.12</v>
      </c>
    </row>
    <row r="17" spans="1:9" ht="20.100000000000001" customHeight="1" x14ac:dyDescent="0.25">
      <c r="A17" s="5" t="str">
        <f>HYPERLINK("#'Input - Farm Inputs'!A1", "Farm Inputs")</f>
        <v>Farm Inputs</v>
      </c>
      <c r="D17" s="109" t="str">
        <v>FracDol</v>
      </c>
      <c r="E17" s="110" t="str">
        <v>fraction of lime as dolomite</v>
      </c>
      <c r="F17" s="112"/>
      <c r="G17" s="109" t="str">
        <v>fraction</v>
      </c>
      <c r="H17" s="113" t="str">
        <v>Input</v>
      </c>
      <c r="I17" s="115" t="str" cm="1">
        <f t="array" aca="1" ref="I17" ca="1">HYPERLINK(Common_InputFunctions.Utility_SourceHyperlink($D$22), $D$22)</f>
        <v>Table_E_lime</v>
      </c>
    </row>
    <row r="18" spans="1:9" ht="20.100000000000001" customHeight="1" x14ac:dyDescent="0.25">
      <c r="A18" s="5" t="str">
        <f>HYPERLINK("#'Input - Freight'!A1", "Freight")</f>
        <v>Freight</v>
      </c>
      <c r="D18" s="109" t="str">
        <v>P_dol</v>
      </c>
      <c r="E18" s="110" t="str">
        <v>fractional purity of dolomite</v>
      </c>
      <c r="F18" s="112"/>
      <c r="G18" s="109" t="str">
        <v>fraction</v>
      </c>
      <c r="H18" s="114" t="str">
        <v>Constant</v>
      </c>
      <c r="I18" s="109">
        <f>'Constants - Fertiliser'!$E$67</f>
        <v>0.95</v>
      </c>
    </row>
    <row r="19" spans="1:9" ht="20.100000000000001" customHeight="1" x14ac:dyDescent="0.25">
      <c r="A19" s="5" t="str">
        <f>HYPERLINK("#'Input - Manure sent off-site'!A1", "Manure sent off-site")</f>
        <v>Manure sent off-site</v>
      </c>
      <c r="D19" s="109" t="str">
        <v>EF_dol</v>
      </c>
      <c r="E19" s="110" t="str">
        <v>emission factor for dolomite fraction of lime</v>
      </c>
      <c r="F19" s="112"/>
      <c r="G19" s="109" t="str">
        <v>kg C/kg</v>
      </c>
      <c r="H19" s="114" t="str">
        <v>Constant</v>
      </c>
      <c r="I19" s="109">
        <f>'Constants - Fertiliser'!$F$67</f>
        <v>0.13</v>
      </c>
    </row>
    <row r="20" spans="1:9" ht="20.100000000000001" customHeight="1" x14ac:dyDescent="0.25">
      <c r="A20" s="5" t="str">
        <f>HYPERLINK("#'Input - Solid waste'!A1", "Solid waste")</f>
        <v>Solid waste</v>
      </c>
      <c r="D20" s="109" t="str">
        <v>C_CO2</v>
      </c>
      <c r="E20" s="110" t="str">
        <v>factor to convert elemental mass of carbon dioxide to molecular mass</v>
      </c>
      <c r="F20" s="112"/>
      <c r="G20" s="109" t="str">
        <v/>
      </c>
      <c r="H20" s="114" t="str">
        <v>Constant</v>
      </c>
      <c r="I20" s="124">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D22" s="116" t="s">
        <v>584</v>
      </c>
    </row>
    <row r="23" spans="1:9" ht="20.100000000000001" customHeight="1" x14ac:dyDescent="0.25">
      <c r="A23" s="6" t="s">
        <v>2</v>
      </c>
      <c r="D23" s="117" t="s">
        <v>585</v>
      </c>
    </row>
    <row r="24" spans="1:9" ht="20.100000000000001" customHeight="1" x14ac:dyDescent="0.25">
      <c r="A24" s="5" t="str">
        <f>HYPERLINK("#'3.2.1.1-2 Enteric Methane'!A1", "3.2.1.1-2 Enteric methane")</f>
        <v>3.2.1.1-2 Enteric methane</v>
      </c>
      <c r="D24" s="119" t="s">
        <v>586</v>
      </c>
      <c r="E24" s="119" t="s">
        <v>587</v>
      </c>
      <c r="F24" s="119" t="s">
        <v>588</v>
      </c>
      <c r="G24" s="119" t="s">
        <v>589</v>
      </c>
      <c r="H24" s="118" t="s">
        <v>590</v>
      </c>
    </row>
    <row r="25" spans="1:9" ht="20.100000000000001" customHeight="1" x14ac:dyDescent="0.25">
      <c r="A25" s="5" t="str">
        <f>HYPERLINK("#'4.2.1.1-2 Methane'!A1", "4.2.1.1-2 Manure methane")</f>
        <v>4.2.1.1-2 Manure methane</v>
      </c>
      <c r="D25" s="25" t="str" cm="1">
        <f t="array" ref="D25:D27">Table_Input_Lime[Product]</f>
        <v>Lime product 1</v>
      </c>
      <c r="E25" s="181" cm="1">
        <f t="array" ref="E25:E27">Table_Input_Lime[Total amount applied (t)]*10^3</f>
        <v>100000</v>
      </c>
      <c r="F25" s="182" cm="1">
        <f t="array" ref="F25:F27">Table_Input_Lime[Percent Lime CaCO3]</f>
        <v>0.8</v>
      </c>
      <c r="G25" s="182"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HYPERLINK("#'4.2.1.3-4 Soil direct N20'!A1", "4.2.1.3-4 Soil direct N2O")</f>
        <v>4.2.1.3-4 Soil direct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5" t="str">
        <f>HYPERLINK("#'4.2.1.5-6 Soil Atmos Dep'!A1", "4.2.1.5-6 Soil atm. deposition")</f>
        <v>4.2.1.5-6 Soil atm. deposition</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HYPERLINK("#'4.2.1.7-8 Soil leach runoff'!A1", "4.2.1.7-8 Soil leach &amp; runoff")</f>
        <v>4.2.1.7-8 Soil leach &amp; runoff</v>
      </c>
      <c r="D28" s="25"/>
      <c r="E28" s="25"/>
      <c r="F28" s="25"/>
      <c r="G28" s="25"/>
      <c r="H28" s="25" cm="1">
        <f t="array" ref="H28">Fertiliser_Equations_Lime.VEERG_5_3_1_1__1_LimeApplicationCO2Emissions(E28,F28,$I$15,$I$16,G28,$I$18,$I$19,$I$20)</f>
        <v>0</v>
      </c>
    </row>
    <row r="29" spans="1:9" ht="20.100000000000001" customHeight="1" x14ac:dyDescent="0.25">
      <c r="A29" s="5" t="str">
        <f>HYPERLINK("#'5.1.1.1-2 Inorganic fert N2O'!A1", "5.1.1.1-2 Inorganic fert N2O")</f>
        <v>5.1.1.1-2 Inorganic fert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HYPERLINK("#'5.1.1.3-4 Inorganic fert CO2'!A1", "5.1.1.3-4 Inorganic fert CO2")</f>
        <v>5.1.1.3-4 Inorganic fert CO2</v>
      </c>
    </row>
    <row r="31" spans="1:9" ht="20.100000000000001" customHeight="1" x14ac:dyDescent="0.25">
      <c r="A31" s="5" t="str">
        <f>HYPERLINK("#'5.2.1.1-2 Organic Fert N2O'!A1", "5.2.1.1-2 Organic fert N2O")</f>
        <v>5.2.1.1-2 Organic fert N2O</v>
      </c>
      <c r="D31" s="121" t="s">
        <v>591</v>
      </c>
      <c r="E31" s="122">
        <f>SUM(H25:H29)</f>
        <v>75.808333333333337</v>
      </c>
      <c r="F31" s="183" t="s">
        <v>147</v>
      </c>
    </row>
    <row r="32" spans="1:9" ht="20.100000000000001" customHeight="1" x14ac:dyDescent="0.25">
      <c r="A32" s="108" t="str">
        <f>HYPERLINK("#'5.3.1.1-2 Lime CO2'!A1", "5.3.1.1-2 Lime CO2")</f>
        <v>5.3.1.1-2 Lime CO2</v>
      </c>
    </row>
    <row r="33" spans="1:1" ht="20.100000000000001" customHeight="1" x14ac:dyDescent="0.25">
      <c r="A33" s="5" t="str">
        <f>HYPERLINK("#'5.4.1.1-4 Atmos deposition'!A1", "5.4.1.1-4 Atmos. deposition")</f>
        <v>5.4.1.1-4 Atmos. deposition</v>
      </c>
    </row>
    <row r="34" spans="1:1" ht="20.100000000000001" customHeight="1" x14ac:dyDescent="0.25">
      <c r="A34" s="5" t="str">
        <f>HYPERLINK("#'5.5.1.1-2 Leaching and runoff'!A1", "5.5.1.1-2 Leaching &amp; runoff")</f>
        <v>5.5.1.1-2 Leaching &amp; runoff</v>
      </c>
    </row>
    <row r="35" spans="1:1" ht="20.100000000000001" customHeight="1" x14ac:dyDescent="0.25">
      <c r="A35" s="5" t="str">
        <f>HYPERLINK("#'6.2.1.1-2 Pasture residue N2O'!A1", "6.2.1.1-2 Pasture residue N2O")</f>
        <v>6.2.1.1-2 Pasture residue N2O</v>
      </c>
    </row>
    <row r="36" spans="1:1" ht="20.100000000000001" customHeight="1" x14ac:dyDescent="0.25">
      <c r="A36" s="5" t="str">
        <f>HYPERLINK("#'6.3.1.1-2 Leach runoff pasture'!A1", "6.3.1.1-2 Leach &amp; runoff (pasture)")</f>
        <v>6.3.1.1-2 Leach &amp; runoff (pasture)</v>
      </c>
    </row>
    <row r="37" spans="1:1" ht="20.100000000000001" customHeight="1" x14ac:dyDescent="0.25">
      <c r="A37" s="5" t="str">
        <f>HYPERLINK("#'8.1.1.1-2 Transport fuel'!A1", "8.1.1.1-2 Transport fuel")</f>
        <v>8.1.1.1-2 Transport fuel</v>
      </c>
    </row>
    <row r="38" spans="1:1" ht="20.100000000000001" customHeight="1" x14ac:dyDescent="0.25">
      <c r="A38" s="5" t="str">
        <f>HYPERLINK("#'8.2.1.1-2 Stationary fuel'!A1", "8.2.1.1-2 Stationary fuel")</f>
        <v>8.2.1.1-2 Stationary fuel</v>
      </c>
    </row>
    <row r="39" spans="1:1" ht="20.100000000000001" customHeight="1" x14ac:dyDescent="0.25">
      <c r="A39" s="5" t="str">
        <f>HYPERLINK("#'14.1.1-2 Purchased electricity'!A1", "14.1.1-2 Purchased electricity")</f>
        <v>14.1.1-2 Purchased electricity</v>
      </c>
    </row>
    <row r="40" spans="1:1" ht="20.100000000000001" customHeight="1" x14ac:dyDescent="0.25">
      <c r="A40" s="5" t="str">
        <f>HYPERLINK("#'15 Scope 3'!A1", "15 Scope 3")</f>
        <v>15 Scope 3</v>
      </c>
    </row>
    <row r="41" spans="1:1" ht="20.100000000000001" customHeight="1" x14ac:dyDescent="0.25">
      <c r="A41" s="5" t="str">
        <f>HYPERLINK("#'Calcs - Manure sent off-site'!A1", "Calcs - Manure sent off-site")</f>
        <v>Calcs - Manure sent off-site</v>
      </c>
    </row>
    <row r="42" spans="1:1" ht="20.100000000000001" customHeight="1" x14ac:dyDescent="0.25">
      <c r="A42" s="5" t="str">
        <f>HYPERLINK("#'10.1.1-2 Solid waste treatment'!A1", "10.1.1-2 Solid waste treatment")</f>
        <v>10.1.1-2 Solid waste treatment</v>
      </c>
    </row>
    <row r="43" spans="1:1" ht="20.100000000000001" customHeight="1" x14ac:dyDescent="0.25"/>
    <row r="44" spans="1:1" ht="20.100000000000001" customHeight="1" x14ac:dyDescent="0.25"/>
    <row r="45" spans="1:1" ht="20.100000000000001" customHeight="1" x14ac:dyDescent="0.25">
      <c r="A45" s="94" t="s">
        <v>1</v>
      </c>
    </row>
    <row r="46" spans="1:1" ht="20.100000000000001" customHeight="1" x14ac:dyDescent="0.25">
      <c r="A46" s="5" t="str">
        <f>HYPERLINK("#'Constants - Pasture Beef'!A1", "Constants - Pasture Beef")</f>
        <v>Constants - Pasture Beef</v>
      </c>
    </row>
    <row r="47" spans="1:1" ht="20.100000000000001" customHeight="1" x14ac:dyDescent="0.25">
      <c r="A47" s="5" t="str">
        <f>HYPERLINK("#'Constants - Ag Residue'!A1", "Constants - Ag residue")</f>
        <v>Constants - Ag residue</v>
      </c>
    </row>
    <row r="48" spans="1:1"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A0C4E-8AB1-4605-AD39-681DF6239793}">
  <dimension ref="A1:U165"/>
  <sheetViews>
    <sheetView showGridLines="0" topLeftCell="A107"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7" t="s">
        <v>258</v>
      </c>
      <c r="E7" s="107"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14">_xlfn.CHOOSECOLS(Fertiliser_Equations_AtmosphericDeposition.VEERG_5_4_1_1__2_MassOfNitrogenVolatilisedFromInorganicFertiliser_Arguments(), 1, 2)</f>
        <v>MN_jf</v>
      </c>
      <c r="E13" s="110" t="str">
        <v>mass of nitrogen in inorganic fertiliser applied</v>
      </c>
      <c r="F13" s="112"/>
      <c r="G13" s="109"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100000000000001" customHeight="1" x14ac:dyDescent="0.25">
      <c r="A14" s="5" t="str">
        <f>HYPERLINK("#'Input - Fertiliser'!A1", "Fertiliser")</f>
        <v>Fertiliser</v>
      </c>
      <c r="D14" s="109" t="str">
        <v>FracGASF_f</v>
      </c>
      <c r="E14" s="110" t="str">
        <v>fraction of inorganic fertiliser that volatilises</v>
      </c>
      <c r="F14" s="112"/>
      <c r="G14" s="109" t="str">
        <v>(kg NH3-N + NOx-N)/kg N</v>
      </c>
      <c r="H14" s="114" t="str">
        <v>Constant</v>
      </c>
      <c r="I14" s="115" t="str" cm="1">
        <f t="array" aca="1" ref="I14" ca="1">HYPERLINK(Common_InputFunctions.Utility_SourceHyperlink($D$16),$D$16)</f>
        <v>Table_M_vol_inorganic_j_f</v>
      </c>
    </row>
    <row r="15" spans="1:21" ht="20.100000000000001" customHeight="1" x14ac:dyDescent="0.25">
      <c r="A15" s="5" t="str">
        <f>HYPERLINK("#'Input - Fuel'!A1", "Fuel")</f>
        <v>Fuel</v>
      </c>
    </row>
    <row r="16" spans="1:21" ht="20.100000000000001" customHeight="1" x14ac:dyDescent="0.25">
      <c r="A16" s="5" t="str">
        <f>HYPERLINK("#'Input - Electricity'!A1", "Electricity")</f>
        <v>Electricity</v>
      </c>
      <c r="D16" s="116" t="s">
        <v>593</v>
      </c>
    </row>
    <row r="17" spans="1:8" ht="20.100000000000001" customHeight="1" x14ac:dyDescent="0.25">
      <c r="A17" s="5" t="str">
        <f>HYPERLINK("#'Input - Farm Inputs'!A1", "Farm Inputs")</f>
        <v>Farm Inputs</v>
      </c>
      <c r="D17" s="117" t="s">
        <v>594</v>
      </c>
    </row>
    <row r="18" spans="1:8" ht="20.100000000000001" customHeight="1" x14ac:dyDescent="0.25">
      <c r="A18" s="5" t="str">
        <f>HYPERLINK("#'Input - Freight'!A1", "Freight")</f>
        <v>Freight</v>
      </c>
      <c r="D18" s="118" t="s">
        <v>595</v>
      </c>
      <c r="E18" s="118" t="s">
        <v>596</v>
      </c>
      <c r="F18" s="118" t="s">
        <v>597</v>
      </c>
      <c r="G18" s="184" t="s">
        <v>598</v>
      </c>
      <c r="H18" s="184" t="s">
        <v>599</v>
      </c>
    </row>
    <row r="19" spans="1:8"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Solid waste'!A1", "Solid waste")</f>
        <v>Solid waste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6" t="s">
        <v>2</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HYPERLINK("#'3.2.1.1-2 Enteric Methane'!A1", "3.2.1.1-2 Enteric methane")</f>
        <v>3.2.1.1-2 Enteric methane</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HYPERLINK("#'4.2.1.1-2 Methane'!A1", "4.2.1.1-2 Manure methane")</f>
        <v>4.2.1.1-2 Manure methane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HYPERLINK("#'4.2.1.3-4 Soil direct N20'!A1", "4.2.1.3-4 Soil direct N2O")</f>
        <v>4.2.1.3-4 Soil direct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HYPERLINK("#'4.2.1.5-6 Soil Atmos Dep'!A1", "4.2.1.5-6 Soil atm. deposition")</f>
        <v>4.2.1.5-6 Soil atm. deposition</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HYPERLINK("#'4.2.1.7-8 Soil leach runoff'!A1", "4.2.1.7-8 Soil leach &amp; runoff")</f>
        <v>4.2.1.7-8 Soil leach &amp; runoff</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HYPERLINK("#'5.1.1.1-2 Inorganic fert N2O'!A1", "5.1.1.1-2 Inorganic fert N2O")</f>
        <v>5.1.1.1-2 Inorganic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HYPERLINK("#'5.1.1.3-4 Inorganic fert CO2'!A1", "5.1.1.3-4 Inorganic fert CO2")</f>
        <v>5.1.1.3-4 Inorganic fert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HYPERLINK("#'5.2.1.1-2 Organic Fert N2O'!A1", "5.2.1.1-2 Organic fert N2O")</f>
        <v>5.2.1.1-2 Organic fert N2O</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HYPERLINK("#'5.3.1.1-2 Lime CO2'!A1", "5.3.1.1-2 Lime CO2")</f>
        <v>5.3.1.1-2 Lime CO2</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108" t="str">
        <f>HYPERLINK("#'5.4.1.1-4 Atmos deposition'!A1", "5.4.1.1-4 Atmos. deposition")</f>
        <v>5.4.1.1-4 Atmos. deposition</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HYPERLINK("#'5.5.1.1-2 Leaching and runoff'!A1", "5.5.1.1-2 Leaching &amp; runoff")</f>
        <v>5.5.1.1-2 Leaching &amp; runoff</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HYPERLINK("#'6.2.1.1-2 Pasture residue N2O'!A1", "6.2.1.1-2 Pasture residue N2O")</f>
        <v>6.2.1.1-2 Pasture residue N2O</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HYPERLINK("#'6.3.1.1-2 Leach runoff pasture'!A1", "6.3.1.1-2 Leach &amp; runoff (pasture)")</f>
        <v>6.3.1.1-2 Leach &amp; runoff (pasture)</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HYPERLINK("#'8.1.1.1-2 Transport fuel'!A1", "8.1.1.1-2 Transport fuel")</f>
        <v>8.1.1.1-2 Transport fuel</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HYPERLINK("#'8.2.1.1-2 Stationary fuel'!A1", "8.2.1.1-2 Stationary fuel")</f>
        <v>8.2.1.1-2 Stationary fuel</v>
      </c>
    </row>
    <row r="39" spans="1:12" ht="20.100000000000001" customHeight="1" x14ac:dyDescent="0.25">
      <c r="A39" s="5" t="str">
        <f>HYPERLINK("#'14.1.1-2 Purchased electricity'!A1", "14.1.1-2 Purchased electricity")</f>
        <v>14.1.1-2 Purchased electricity</v>
      </c>
    </row>
    <row r="40" spans="1:12" ht="20.100000000000001" customHeight="1" x14ac:dyDescent="0.25">
      <c r="A40" s="5" t="str">
        <f>HYPERLINK("#'15 Scope 3'!A1", "15 Scope 3")</f>
        <v>15 Scope 3</v>
      </c>
      <c r="C40" s="180"/>
      <c r="D40" s="180"/>
      <c r="E40" s="180"/>
      <c r="F40" s="180"/>
      <c r="G40" s="180"/>
      <c r="H40" s="180"/>
      <c r="I40" s="180"/>
      <c r="J40" s="180"/>
      <c r="K40" s="180"/>
      <c r="L40" s="180"/>
    </row>
    <row r="41" spans="1:12" ht="20.100000000000001" customHeight="1" x14ac:dyDescent="0.25">
      <c r="A41" s="5" t="str">
        <f>HYPERLINK("#'Calcs - Manure sent off-site'!A1", "Calcs - Manure sent off-site")</f>
        <v>Calcs - Manure sent off-site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HYPERLINK("#'10.1.1-2 Solid waste treatment'!A1", "10.1.1-2 Solid waste treatment")</f>
        <v>10.1.1-2 Solid waste treatment</v>
      </c>
      <c r="D42" s="27" t="str" cm="1">
        <f t="array" ref="D42">Fertiliser_Equations_AtmosphericDeposition.VEERG_5_4_1_1__1_InorganicFertiliserAtmosphericDepositionN2OEmissions_Source()</f>
        <v>VEERG 2026: 5.4.1.1, Equation (1)</v>
      </c>
    </row>
    <row r="43" spans="1:12" ht="20.100000000000001" customHeight="1" x14ac:dyDescent="0.25">
      <c r="D43" s="107" t="s">
        <v>258</v>
      </c>
      <c r="E43" s="107"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c r="A45" s="94" t="s">
        <v>1</v>
      </c>
    </row>
    <row r="46" spans="1:12" ht="20.100000000000001" customHeight="1" x14ac:dyDescent="0.25">
      <c r="A46" s="5" t="str">
        <f>HYPERLINK("#'Constants - Pasture Beef'!A1", "Constants - Pasture Beef")</f>
        <v>Constants - Pasture Beef</v>
      </c>
      <c r="D46" s="88" t="s">
        <v>260</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Ag Residue'!A1", "Constants - Ag residue")</f>
        <v>Constants - Ag residue</v>
      </c>
      <c r="D47" s="88" t="s">
        <v>132</v>
      </c>
      <c r="E47" s="15" t="str" cm="1">
        <f t="array" ref="E47">Fertiliser_Equations_AtmosphericDeposition.VEERG_5_4_1_1__1_InorganicFertiliserAtmosphericDepositionN2OEmissions_Unit()</f>
        <v>t N2O</v>
      </c>
    </row>
    <row r="48" spans="1:12" ht="20.100000000000001" customHeight="1" x14ac:dyDescent="0.25">
      <c r="A48" s="5" t="str">
        <f>HYPERLINK("#'Constants - Common Livestock'!A1", "Constants - Common Livestock")</f>
        <v>Constants - Common Livestock</v>
      </c>
    </row>
    <row r="49" spans="1:10" ht="20.100000000000001" customHeight="1" x14ac:dyDescent="0.25">
      <c r="A49" s="5" t="str">
        <f>HYPERLINK("#'Constants - Electricity'!A1", "Constants - Electricity")</f>
        <v>Constants - Electricity</v>
      </c>
      <c r="D49" s="109" t="str" cm="1">
        <f t="array" ref="D49:E54">_xlfn.CHOOSECOLS(Fertiliser_Equations_AtmosphericDeposition.VEERG_5_4_1_1__1_InorganicFertiliserAtmosphericDepositionN2OEmissions_Arguments(), 1, 2)</f>
        <v>M_volinorganicjf</v>
      </c>
      <c r="E49" s="110" t="str">
        <v>mass of nitrogen volatilised from inorganic fertiliser applied to production system</v>
      </c>
      <c r="F49" s="111"/>
      <c r="G49" s="112"/>
      <c r="H49" s="109"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100000000000001" customHeight="1" x14ac:dyDescent="0.25">
      <c r="A50" s="5" t="str">
        <f>HYPERLINK("#'Constants - Fertiliser'!A1", "Constants - Fertiliser")</f>
        <v>Constants - Fertiliser</v>
      </c>
      <c r="D50" s="109" t="str">
        <v>EF_N2Oj</v>
      </c>
      <c r="E50" s="110" t="str">
        <v>emission factor for atmospheric deposition</v>
      </c>
      <c r="F50" s="111"/>
      <c r="G50" s="112"/>
      <c r="H50" s="109" t="str">
        <v>kg N2O-N/kg N</v>
      </c>
      <c r="I50" s="114" t="str">
        <v>Constant</v>
      </c>
      <c r="J50" s="10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s="5" t="str">
        <f>HYPERLINK("#'Constants - Fuel'!A1", "Constants - Fuel")</f>
        <v>Constants - Fuel</v>
      </c>
      <c r="D51" s="109" t="str">
        <v>C_N2O</v>
      </c>
      <c r="E51" s="110" t="str">
        <v>factor to convert elemental mass of nitrous oxide to molecular mass</v>
      </c>
      <c r="F51" s="111"/>
      <c r="G51" s="112"/>
      <c r="H51" s="109" t="str">
        <v/>
      </c>
      <c r="I51" s="114" t="str">
        <v>Constant</v>
      </c>
      <c r="J51" s="124">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Scope 3'!A1", "Constants - Scope 3")</f>
        <v>Constants - Scope 3</v>
      </c>
      <c r="D52" s="109" t="str">
        <v>j</v>
      </c>
      <c r="E52" s="110" t="str">
        <v>Production system</v>
      </c>
      <c r="F52" s="111"/>
      <c r="G52" s="112"/>
      <c r="H52" s="109" t="str">
        <v/>
      </c>
      <c r="I52" s="113" t="str">
        <v>Input</v>
      </c>
      <c r="J52" s="109" t="str">
        <f>X_Cell_Fertiliser_ProductionSystem</f>
        <v>Crop</v>
      </c>
    </row>
    <row r="53" spans="1:10" ht="20.100000000000001" customHeight="1" x14ac:dyDescent="0.25">
      <c r="A53" s="5" t="str">
        <f>HYPERLINK("#'Constants - Common'!A1", "Constants - Common")</f>
        <v>Constants - Common</v>
      </c>
      <c r="D53" s="109" t="str">
        <v>ir</v>
      </c>
      <c r="E53" s="110" t="str">
        <v>irrigation method</v>
      </c>
      <c r="F53" s="111"/>
      <c r="G53" s="112"/>
      <c r="H53" s="109" t="str">
        <v/>
      </c>
      <c r="I53" s="113" t="str">
        <v>Input</v>
      </c>
      <c r="J53" s="109" t="str">
        <f>X_Cell_Fertiliser_IrrigationMethod</f>
        <v>Sprinkler irrigation</v>
      </c>
    </row>
    <row r="54" spans="1:10" ht="20.100000000000001" customHeight="1" x14ac:dyDescent="0.25">
      <c r="A54" s="5" t="str">
        <f>HYPERLINK("#'Acknowledgements'!A1", "Acknowledgements")</f>
        <v>Acknowledgements</v>
      </c>
      <c r="D54" s="109" t="str">
        <v>r</v>
      </c>
      <c r="E54" s="110" t="str">
        <v>rainfall region</v>
      </c>
      <c r="F54" s="111"/>
      <c r="G54" s="112"/>
      <c r="H54" s="109" t="str">
        <v/>
      </c>
      <c r="I54" s="113" t="str">
        <v>Input</v>
      </c>
      <c r="J54" s="109" t="str">
        <f>X_Cell_Site_RainfallZone</f>
        <v>High rainfall</v>
      </c>
    </row>
    <row r="55" spans="1:10" ht="20.100000000000001" customHeight="1" x14ac:dyDescent="0.25">
      <c r="A55" s="5" t="str">
        <f>HYPERLINK("#'Constants - Solid Waste'!A1", "Constants - Solid Waste")</f>
        <v>Constants - Solid Waste</v>
      </c>
    </row>
    <row r="56" spans="1:10" ht="20.100000000000001" customHeight="1" x14ac:dyDescent="0.25">
      <c r="D56" s="116" t="s">
        <v>600</v>
      </c>
    </row>
    <row r="57" spans="1:10" ht="20.100000000000001" customHeight="1" x14ac:dyDescent="0.25">
      <c r="D57" s="117" t="s">
        <v>601</v>
      </c>
    </row>
    <row r="58" spans="1:10" ht="20.100000000000001" customHeight="1" x14ac:dyDescent="0.25">
      <c r="D58" s="118" t="s">
        <v>595</v>
      </c>
      <c r="E58" s="184" t="s">
        <v>599</v>
      </c>
      <c r="F58" s="184" t="s">
        <v>602</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21" t="s">
        <v>603</v>
      </c>
      <c r="E79" s="122">
        <f>SUM(F59:F77)</f>
        <v>1.4052830000000001E-2</v>
      </c>
      <c r="F79" s="123" t="str">
        <f>$E$47</f>
        <v>t N2O</v>
      </c>
    </row>
    <row r="80" spans="4:6" ht="20.100000000000001" customHeight="1" x14ac:dyDescent="0.25"/>
    <row r="81" spans="3:12" ht="20.100000000000001" customHeight="1" x14ac:dyDescent="0.25">
      <c r="D81" s="124" t="str" cm="1">
        <f t="array" ref="D81:E82">Common_Equations.Common_ConvertN2OToCO2e_Arguments()</f>
        <v>EN2O</v>
      </c>
      <c r="E81" s="125" t="str">
        <v>Nitrous oxide emissions (t N2O)</v>
      </c>
      <c r="F81" s="126"/>
      <c r="G81" s="25">
        <f>E79</f>
        <v>1.4052830000000001E-2</v>
      </c>
    </row>
    <row r="82" spans="3:12" ht="20.100000000000001" customHeight="1" x14ac:dyDescent="0.25">
      <c r="D82" s="124" t="str">
        <v>GWPN2O</v>
      </c>
      <c r="E82" s="125" t="str">
        <v>Global warming potential for nitrous oxide (t CO2-e / t N2O)</v>
      </c>
      <c r="F82" s="126"/>
      <c r="G82" s="25">
        <f>Common_InputFunctions.Utility_LookupValueInTableNumber("N2O",Table_GWPData[Gas],Table_GWPData[CO2-e factor])</f>
        <v>265</v>
      </c>
    </row>
    <row r="83" spans="3:12" ht="20.100000000000001" customHeight="1" x14ac:dyDescent="0.25"/>
    <row r="84" spans="3:12" ht="20.100000000000001" customHeight="1" x14ac:dyDescent="0.25">
      <c r="D84" s="120" t="s">
        <v>298</v>
      </c>
      <c r="E84" s="120" cm="1">
        <f t="array" ref="E84">Common_Equations.Common_ConvertN2OToCO2e(G81,G82)</f>
        <v>3.7239999500000001</v>
      </c>
      <c r="F84" s="127"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80"/>
      <c r="D87" s="180"/>
      <c r="E87" s="180"/>
      <c r="F87" s="180"/>
      <c r="G87" s="180"/>
      <c r="H87" s="180"/>
      <c r="I87" s="180"/>
      <c r="J87" s="180"/>
      <c r="K87" s="180"/>
      <c r="L87" s="18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7" t="s">
        <v>258</v>
      </c>
      <c r="E90" s="10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9" t="str" cm="1">
        <f t="array" ref="D96:E97">_xlfn.CHOOSECOLS(Fertiliser_Equations_AtmosphericDeposition.VEERG_5_4_1_3__2_MassOfNitrogenVolatilisedFromOrganicFertiliser_Arguments(), 1, 2)</f>
        <v>MNSoil_jf</v>
      </c>
      <c r="E96" s="109" t="str">
        <v>mass of nitrogen in organic fertiliser type f applied to production system j</v>
      </c>
      <c r="F96" s="109"/>
      <c r="G96" s="109"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100000000000001" customHeight="1" x14ac:dyDescent="0.25">
      <c r="D97" s="109" t="str">
        <v>FracGASM_soil</v>
      </c>
      <c r="E97" s="109" t="str">
        <v>fraction of organic fertiliser N that volatilises</v>
      </c>
      <c r="F97" s="109"/>
      <c r="G97" s="109" t="str">
        <v>(kg NH3-N + NOx-N)/kg N</v>
      </c>
      <c r="H97" s="114" t="str">
        <v>Constant</v>
      </c>
      <c r="I97" s="109">
        <f>'Constants - Fertiliser'!$E$73</f>
        <v>0.21</v>
      </c>
    </row>
    <row r="98" spans="4:9" ht="20.100000000000001" customHeight="1" x14ac:dyDescent="0.25"/>
    <row r="99" spans="4:9" ht="20.100000000000001" customHeight="1" x14ac:dyDescent="0.25">
      <c r="D99" s="116" t="s">
        <v>604</v>
      </c>
    </row>
    <row r="100" spans="4:9" ht="20.100000000000001" customHeight="1" x14ac:dyDescent="0.25">
      <c r="D100" s="117" t="s">
        <v>605</v>
      </c>
    </row>
    <row r="101" spans="4:9" ht="20.100000000000001" customHeight="1" x14ac:dyDescent="0.25">
      <c r="D101" s="119" t="s">
        <v>577</v>
      </c>
      <c r="E101" s="175" t="s">
        <v>581</v>
      </c>
      <c r="F101" s="175"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80"/>
      <c r="D115" s="180"/>
      <c r="E115" s="180"/>
      <c r="F115" s="180"/>
      <c r="G115" s="180"/>
      <c r="H115" s="180"/>
      <c r="I115" s="180"/>
      <c r="J115" s="180"/>
      <c r="K115" s="180"/>
      <c r="L115" s="18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7" t="s">
        <v>258</v>
      </c>
      <c r="E118" s="10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9" t="str" cm="1">
        <f t="array" ref="D124:E129">_xlfn.CHOOSECOLS(Fertiliser_Equations_AtmosphericDeposition.VEERG_5_4_1_3__1_OrganicFertiliserAtmosphericDepositionN2OEmissions_Arguments(), 1, 2)</f>
        <v>M_volorganicjf</v>
      </c>
      <c r="E124" s="110" t="str">
        <v>mass of nitrogen volatilised from organic fertiliser applied to production system</v>
      </c>
      <c r="F124" s="112"/>
      <c r="G124" s="109"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100000000000001" customHeight="1" x14ac:dyDescent="0.25">
      <c r="D125" s="109" t="str">
        <v>EF_N2Oj</v>
      </c>
      <c r="E125" s="110" t="str">
        <v>emission factor for atmospheric deposition in production system j</v>
      </c>
      <c r="F125" s="112"/>
      <c r="G125" s="109" t="str">
        <v>kg N2O-N/kg N</v>
      </c>
      <c r="H125" s="114" t="str">
        <v>Constant</v>
      </c>
      <c r="I125" s="10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9" t="str">
        <v>C_N2O</v>
      </c>
      <c r="E126" s="110" t="str">
        <v>factor to convert elemental mass of nitrous oxide to molecular mass</v>
      </c>
      <c r="F126" s="112"/>
      <c r="G126" s="109" t="str">
        <v/>
      </c>
      <c r="H126" s="114" t="str">
        <v>Constant</v>
      </c>
      <c r="I126" s="124">
        <f>Common_InputFunctions.Utility_LookupValueInTableNumber("N2O",Table_GasToMolecularConversionFactor[Gas],Table_GasToMolecularConversionFactor[Conversion factor combined])</f>
        <v>1.5714285714285714</v>
      </c>
    </row>
    <row r="127" spans="3:12" ht="20.100000000000001" customHeight="1" x14ac:dyDescent="0.25">
      <c r="D127" s="109" t="str">
        <v>j</v>
      </c>
      <c r="E127" s="110" t="str">
        <v>Production system</v>
      </c>
      <c r="F127" s="112"/>
      <c r="G127" s="109" t="str">
        <v/>
      </c>
      <c r="H127" s="113" t="str">
        <v>Input</v>
      </c>
      <c r="I127" s="109" t="str">
        <f>X_Cell_Fertiliser_ProductionSystem</f>
        <v>Crop</v>
      </c>
    </row>
    <row r="128" spans="3:12" ht="20.100000000000001" customHeight="1" x14ac:dyDescent="0.25">
      <c r="D128" s="109" t="str">
        <v>ir</v>
      </c>
      <c r="E128" s="110" t="str">
        <v>irrigation method</v>
      </c>
      <c r="F128" s="112"/>
      <c r="G128" s="109" t="str">
        <v/>
      </c>
      <c r="H128" s="113" t="str">
        <v>Input</v>
      </c>
      <c r="I128" s="109" t="str">
        <f>X_Cell_Fertiliser_IrrigationMethod</f>
        <v>Sprinkler irrigation</v>
      </c>
    </row>
    <row r="129" spans="4:9" ht="20.100000000000001" customHeight="1" x14ac:dyDescent="0.25">
      <c r="D129" s="109" t="str">
        <v>r</v>
      </c>
      <c r="E129" s="110" t="str">
        <v>rainfall region</v>
      </c>
      <c r="F129" s="112"/>
      <c r="G129" s="109" t="str">
        <v/>
      </c>
      <c r="H129" s="113" t="str">
        <v>Input</v>
      </c>
      <c r="I129" s="109" t="str">
        <f>X_Cell_Site_RainfallZone</f>
        <v>High rainfall</v>
      </c>
    </row>
    <row r="130" spans="4:9" ht="20.100000000000001" customHeight="1" x14ac:dyDescent="0.25"/>
    <row r="131" spans="4:9" ht="20.100000000000001" customHeight="1" x14ac:dyDescent="0.25">
      <c r="D131" s="116" t="s">
        <v>607</v>
      </c>
    </row>
    <row r="132" spans="4:9" ht="20.100000000000001" customHeight="1" x14ac:dyDescent="0.25">
      <c r="D132" s="117" t="s">
        <v>608</v>
      </c>
    </row>
    <row r="133" spans="4:9" ht="20.100000000000001" customHeight="1" x14ac:dyDescent="0.25">
      <c r="D133" s="119" t="s">
        <v>577</v>
      </c>
      <c r="E133" s="175" t="s">
        <v>606</v>
      </c>
      <c r="F133" s="175"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21" t="s">
        <v>610</v>
      </c>
      <c r="E146" s="122">
        <f>SUM(F134:F144)</f>
        <v>1.6401E-3</v>
      </c>
      <c r="F146" s="123" t="str">
        <f>$E$122</f>
        <v>t N2O</v>
      </c>
    </row>
    <row r="147" spans="4:7" ht="20.100000000000001" customHeight="1" x14ac:dyDescent="0.25"/>
    <row r="148" spans="4:7" ht="20.100000000000001" customHeight="1" x14ac:dyDescent="0.25">
      <c r="D148" s="124" t="str" cm="1">
        <f t="array" ref="D148:E149">Common_Equations.Common_ConvertN2OToCO2e_Arguments()</f>
        <v>EN2O</v>
      </c>
      <c r="E148" s="125" t="str">
        <v>Nitrous oxide emissions (t N2O)</v>
      </c>
      <c r="F148" s="126"/>
      <c r="G148" s="25">
        <f>E146</f>
        <v>1.6401E-3</v>
      </c>
    </row>
    <row r="149" spans="4:7" ht="20.100000000000001" customHeight="1" x14ac:dyDescent="0.25">
      <c r="D149" s="124" t="str">
        <v>GWPN2O</v>
      </c>
      <c r="E149" s="125" t="str">
        <v>Global warming potential for nitrous oxide (t CO2-e / t N2O)</v>
      </c>
      <c r="F149" s="126"/>
      <c r="G149" s="25">
        <f>Common_InputFunctions.Utility_LookupValueInTableNumber("N2O",Table_GWPData[Gas],Table_GWPData[CO2-e factor])</f>
        <v>265</v>
      </c>
    </row>
    <row r="150" spans="4:7" ht="20.100000000000001" customHeight="1" x14ac:dyDescent="0.25"/>
    <row r="151" spans="4:7" ht="20.100000000000001" customHeight="1" x14ac:dyDescent="0.25">
      <c r="D151" s="120" t="s">
        <v>298</v>
      </c>
      <c r="E151" s="120" cm="1">
        <f t="array" ref="E151">Common_Equations.Common_ConvertN2OToCO2e(G148,G149)</f>
        <v>0.43462650000000003</v>
      </c>
      <c r="F151" s="127"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8E488-C2D5-48D5-8C94-95A2B0BA4DE2}">
  <dimension ref="A1:T165"/>
  <sheetViews>
    <sheetView showGridLines="0" topLeftCell="A75"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7" t="s">
        <v>258</v>
      </c>
      <c r="E7" s="107"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Pasture'!A1", "Pasture")</f>
        <v>Pasture</v>
      </c>
      <c r="D13" s="109" t="str" cm="1">
        <f t="array" ref="D13:E18">_xlfn.CHOOSECOLS(Fertiliser_Equations_LeachingAndRunoff.VEERG_5_5_1_1__2_MassOfNitrogenLeachedFromInorganicFertiliser_Arguments(), 1, 2)</f>
        <v>MN_jf</v>
      </c>
      <c r="E13" s="110" t="str">
        <v>mass of nitrogen in inorganic fertiliser</v>
      </c>
      <c r="F13" s="112"/>
      <c r="G13" s="109"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100000000000001" customHeight="1" x14ac:dyDescent="0.25">
      <c r="A14" s="5" t="str">
        <f>HYPERLINK("#'Input - Fertiliser'!A1", "Fertiliser")</f>
        <v>Fertiliser</v>
      </c>
      <c r="D14" s="109" t="str">
        <v>FracWETj</v>
      </c>
      <c r="E14" s="110" t="str">
        <v>fraction of N available for leaching and runoff</v>
      </c>
      <c r="F14" s="112"/>
      <c r="G14" s="109" t="str">
        <v>fraction</v>
      </c>
      <c r="H14" s="114" t="str">
        <v>Constant</v>
      </c>
      <c r="I14" s="109">
        <f>Common_InputFunctions.CommonCropping_GetFracWET(I16,I18,#REF!,#REF!,Table_SourceData_FracWETIrrigation[Irrigation type i],Table_SourceData_FracWETIrrigation[FracWET])</f>
        <v>1</v>
      </c>
    </row>
    <row r="15" spans="1:20" ht="20.100000000000001" customHeight="1" x14ac:dyDescent="0.25">
      <c r="A15" s="5" t="str">
        <f>HYPERLINK("#'Input - Fuel'!A1", "Fuel")</f>
        <v>Fuel</v>
      </c>
      <c r="D15" s="109" t="str">
        <v>FracLEACH</v>
      </c>
      <c r="E15" s="110" t="str">
        <v>fraction of N that is lost through leaching and runoff</v>
      </c>
      <c r="F15" s="112"/>
      <c r="G15" s="109" t="str">
        <v>fraction</v>
      </c>
      <c r="H15" s="114" t="str">
        <v>Constant</v>
      </c>
      <c r="I15" s="109">
        <f>'Constants - Fertiliser'!$E$78</f>
        <v>0.24</v>
      </c>
    </row>
    <row r="16" spans="1:20" ht="20.100000000000001" customHeight="1" x14ac:dyDescent="0.25">
      <c r="A16" s="5" t="str">
        <f>HYPERLINK("#'Input - Electricity'!A1", "Electricity")</f>
        <v>Electricity</v>
      </c>
      <c r="D16" s="109" t="str">
        <v>z</v>
      </c>
      <c r="E16" s="110" t="str">
        <v>location in leaching zone</v>
      </c>
      <c r="F16" s="112"/>
      <c r="G16" s="109" t="str">
        <v/>
      </c>
      <c r="H16" s="113" t="str">
        <v>Input</v>
      </c>
      <c r="I16" s="109" t="str">
        <f>X_Cell_Site_LeachingZone</f>
        <v>NO - Not in leaching zone</v>
      </c>
    </row>
    <row r="17" spans="1:9" ht="20.100000000000001" customHeight="1" x14ac:dyDescent="0.25">
      <c r="A17" s="5" t="str">
        <f>HYPERLINK("#'Input - Farm Inputs'!A1", "Farm Inputs")</f>
        <v>Farm Inputs</v>
      </c>
      <c r="D17" s="109" t="str">
        <v>j</v>
      </c>
      <c r="E17" s="110" t="str">
        <v>production system</v>
      </c>
      <c r="F17" s="112"/>
      <c r="G17" s="109" t="str">
        <v/>
      </c>
      <c r="H17" s="113" t="str">
        <v>Input</v>
      </c>
      <c r="I17" s="109" t="str">
        <f>X_Cell_Fertiliser_ProductionSystem</f>
        <v>Crop</v>
      </c>
    </row>
    <row r="18" spans="1:9" ht="20.100000000000001" customHeight="1" x14ac:dyDescent="0.25">
      <c r="A18" s="5" t="str">
        <f>HYPERLINK("#'Input - Freight'!A1", "Freight")</f>
        <v>Freight</v>
      </c>
      <c r="D18" s="109" t="str">
        <v>ir</v>
      </c>
      <c r="E18" s="110" t="str">
        <v>irrigation method</v>
      </c>
      <c r="F18" s="112"/>
      <c r="G18" s="109" t="str">
        <v/>
      </c>
      <c r="H18" s="113" t="str">
        <v>Input</v>
      </c>
      <c r="I18" s="109" t="str">
        <f>X_Cell_Fertiliser_IrrigationMethod</f>
        <v>Sprinkler irrigation</v>
      </c>
    </row>
    <row r="19" spans="1:9" ht="20.100000000000001" customHeight="1" x14ac:dyDescent="0.25">
      <c r="A19" s="5" t="str">
        <f>HYPERLINK("#'Input - Manure sent off-site'!A1", "Manure sent off-site")</f>
        <v>Manure sent off-site</v>
      </c>
    </row>
    <row r="20" spans="1:9" ht="20.100000000000001" customHeight="1" x14ac:dyDescent="0.25">
      <c r="A20" s="5" t="str">
        <f>HYPERLINK("#'Input - Solid waste'!A1", "Solid waste")</f>
        <v>Solid waste</v>
      </c>
      <c r="D20" s="116" t="s">
        <v>612</v>
      </c>
    </row>
    <row r="21" spans="1:9" ht="20.100000000000001" customHeight="1" x14ac:dyDescent="0.25">
      <c r="D21" s="117" t="s">
        <v>613</v>
      </c>
    </row>
    <row r="22" spans="1:9" ht="20.100000000000001" customHeight="1" x14ac:dyDescent="0.25">
      <c r="D22" s="118" t="s">
        <v>540</v>
      </c>
      <c r="E22" s="118" t="s">
        <v>596</v>
      </c>
      <c r="F22" s="118" t="s">
        <v>614</v>
      </c>
    </row>
    <row r="23" spans="1:9" ht="20.100000000000001" customHeight="1" x14ac:dyDescent="0.25">
      <c r="A23" s="6" t="s">
        <v>2</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HYPERLINK("#'3.2.1.1-2 Enteric Methane'!A1", "3.2.1.1-2 Enteric methane")</f>
        <v>3.2.1.1-2 Enteric methane</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HYPERLINK("#'4.2.1.1-2 Methane'!A1", "4.2.1.1-2 Manure methane")</f>
        <v>4.2.1.1-2 Manure methane</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HYPERLINK("#'4.2.1.3-4 Soil direct N20'!A1", "4.2.1.3-4 Soil direct N2O")</f>
        <v>4.2.1.3-4 Soil direct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HYPERLINK("#'4.2.1.5-6 Soil Atmos Dep'!A1", "4.2.1.5-6 Soil atm. deposition")</f>
        <v>4.2.1.5-6 Soil atm. deposition</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HYPERLINK("#'4.2.1.7-8 Soil leach runoff'!A1", "4.2.1.7-8 Soil leach &amp; runoff")</f>
        <v>4.2.1.7-8 Soil leach &amp; runoff</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HYPERLINK("#'5.1.1.1-2 Inorganic fert N2O'!A1", "5.1.1.1-2 Inorganic fert N2O")</f>
        <v>5.1.1.1-2 Inorganic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HYPERLINK("#'5.1.1.3-4 Inorganic fert CO2'!A1", "5.1.1.3-4 Inorganic fert CO2")</f>
        <v>5.1.1.3-4 Inorganic fert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HYPERLINK("#'5.2.1.1-2 Organic Fert N2O'!A1", "5.2.1.1-2 Organic fert N2O")</f>
        <v>5.2.1.1-2 Organic fert N2O</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HYPERLINK("#'5.3.1.1-2 Lime CO2'!A1", "5.3.1.1-2 Lime CO2")</f>
        <v>5.3.1.1-2 Lime CO2</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HYPERLINK("#'5.4.1.1-4 Atmos deposition'!A1", "5.4.1.1-4 Atmos. deposition")</f>
        <v>5.4.1.1-4 Atmos. deposition</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108" t="str">
        <f>HYPERLINK("#'5.5.1.1-2 Leaching and runoff'!A1", "5.5.1.1-2 Leaching &amp; runoff")</f>
        <v>5.5.1.1-2 Leaching &amp; runoff</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HYPERLINK("#'6.2.1.1-2 Pasture residue N2O'!A1", "6.2.1.1-2 Pasture residue N2O")</f>
        <v>6.2.1.1-2 Pasture residue N2O</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HYPERLINK("#'6.3.1.1-2 Leach runoff pasture'!A1", "6.3.1.1-2 Leach &amp; runoff (pasture)")</f>
        <v>6.3.1.1-2 Leach &amp; runoff (pasture)</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HYPERLINK("#'8.1.1.1-2 Transport fuel'!A1", "8.1.1.1-2 Transport fuel")</f>
        <v>8.1.1.1-2 Transport fuel</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HYPERLINK("#'8.2.1.1-2 Stationary fuel'!A1", "8.2.1.1-2 Stationary fuel")</f>
        <v>8.2.1.1-2 Stationary fuel</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HYPERLINK("#'14.1.1-2 Purchased electricity'!A1", "14.1.1-2 Purchased electricity")</f>
        <v>14.1.1-2 Purchased electricity</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HYPERLINK("#'15 Scope 3'!A1", "15 Scope 3")</f>
        <v>15 Scope 3</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HYPERLINK("#'Calcs - Manure sent off-site'!A1", "Calcs - Manure sent off-site")</f>
        <v>Calcs - Manure sent off-site</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HYPERLINK("#'10.1.1-2 Solid waste treatment'!A1", "10.1.1-2 Solid waste treatment")</f>
        <v>10.1.1-2 Solid waste treatment</v>
      </c>
    </row>
    <row r="43" spans="1:11" ht="20.100000000000001" customHeight="1" x14ac:dyDescent="0.25">
      <c r="D43" s="132" t="s">
        <v>615</v>
      </c>
      <c r="E43" s="120">
        <f>SUM(F23:F41)</f>
        <v>3122.328</v>
      </c>
      <c r="F43" s="127" t="str">
        <f>$E$11</f>
        <v>kg N</v>
      </c>
    </row>
    <row r="44" spans="1:11" ht="20.100000000000001" customHeight="1" x14ac:dyDescent="0.25"/>
    <row r="45" spans="1:11" ht="20.100000000000001" customHeight="1" x14ac:dyDescent="0.25">
      <c r="A45" s="94" t="s">
        <v>1</v>
      </c>
      <c r="C45" s="185"/>
      <c r="D45" s="185"/>
      <c r="E45" s="185"/>
      <c r="F45" s="185"/>
      <c r="G45" s="185"/>
      <c r="H45" s="185"/>
      <c r="I45" s="185"/>
      <c r="J45" s="185"/>
      <c r="K45" s="185"/>
    </row>
    <row r="46" spans="1:11" ht="20.100000000000001" customHeight="1" x14ac:dyDescent="0.25">
      <c r="A46" s="5" t="str">
        <f>HYPERLINK("#'Constants - Pasture Beef'!A1", "Constants - Pasture Beef")</f>
        <v>Constants - Pasture Beef</v>
      </c>
    </row>
    <row r="47" spans="1:11" ht="20.100000000000001" customHeight="1" x14ac:dyDescent="0.25">
      <c r="A47" s="5" t="str">
        <f>HYPERLINK("#'Constants - Ag Residue'!A1", "Constants - Ag residue")</f>
        <v>Constants - Ag residue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Common Livestock'!A1", "Constants - Common Livestock")</f>
        <v>Constants - Common Livestock</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Electricity'!A1", "Constants - Electricity")</f>
        <v>Constants - Electricity</v>
      </c>
      <c r="D49" s="107" t="s">
        <v>258</v>
      </c>
      <c r="E49" s="107"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Fertiliser'!A1", "Constants - Fertiliser")</f>
        <v>Constants - Fertiliser</v>
      </c>
    </row>
    <row r="51" spans="1:9" ht="20.100000000000001" customHeight="1" x14ac:dyDescent="0.25">
      <c r="A51" s="5" t="str">
        <f>HYPERLINK("#'Constants - Fuel'!A1", "Constants - Fuel")</f>
        <v>Constants - Fuel</v>
      </c>
    </row>
    <row r="52" spans="1:9" ht="20.100000000000001" customHeight="1" x14ac:dyDescent="0.25">
      <c r="A52" s="5" t="str">
        <f>HYPERLINK("#'Constants - Scope 3'!A1", "Constants - Scope 3")</f>
        <v>Constants - Scope 3</v>
      </c>
      <c r="D52" s="88" t="s">
        <v>260</v>
      </c>
      <c r="E52" s="1" t="str" cm="1">
        <f t="array" ref="E52">Fertiliser_Equations_LeachingAndRunoff.VEERG_5_5_1_1__3_MassOfNitrogenLeachedFromOrganicFertiliser_Variable()</f>
        <v>M_leachorganicj</v>
      </c>
    </row>
    <row r="53" spans="1:9" ht="20.100000000000001" customHeight="1" x14ac:dyDescent="0.25">
      <c r="A53" s="5" t="str">
        <f>HYPERLINK("#'Constants - Common'!A1", "Constants - Common")</f>
        <v>Constants - Common</v>
      </c>
      <c r="D53" s="88" t="s">
        <v>132</v>
      </c>
      <c r="E53" s="15" t="str" cm="1">
        <f t="array" ref="E53">Fertiliser_Equations_LeachingAndRunoff.VEERG_5_5_1_1__3_MassOfNitrogenLeachedFromOrganicFertiliser_Unit()</f>
        <v>kg N</v>
      </c>
    </row>
    <row r="54" spans="1:9" ht="20.100000000000001" customHeight="1" x14ac:dyDescent="0.25">
      <c r="A54" s="5" t="str">
        <f>HYPERLINK("#'Acknowledgements'!A1", "Acknowledgements")</f>
        <v>Acknowledgements</v>
      </c>
    </row>
    <row r="55" spans="1:9" ht="20.100000000000001" customHeight="1" x14ac:dyDescent="0.25">
      <c r="A55" s="5" t="str">
        <f>HYPERLINK("#'Constants - Solid Waste'!A1", "Constants - Solid Waste")</f>
        <v>Constants - Solid Waste</v>
      </c>
      <c r="D55" s="109" t="str" cm="1">
        <f t="array" ref="D55:E60">_xlfn.CHOOSECOLS(Fertiliser_Equations_LeachingAndRunoff.VEERG_5_5_1_1__3_MassOfNitrogenLeachedFromOrganicFertiliser_Arguments(), 1, 2)</f>
        <v>MNSoil_jf</v>
      </c>
      <c r="E55" s="110" t="str">
        <v>mass of nitrogen in organic fertiliser</v>
      </c>
      <c r="F55" s="112"/>
      <c r="G55" s="109"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100000000000001" customHeight="1" x14ac:dyDescent="0.25">
      <c r="D56" s="109" t="str">
        <v>FracWETj</v>
      </c>
      <c r="E56" s="110" t="str">
        <v>fraction of N available for leaching and runoff</v>
      </c>
      <c r="F56" s="112"/>
      <c r="G56" s="109" t="str">
        <v>fraction</v>
      </c>
      <c r="H56" s="114" t="str">
        <v>Constant</v>
      </c>
      <c r="I56" s="109">
        <f>Common_InputFunctions.CommonCropping_GetFracWET(I58,I60,#REF!,#REF!,Table_SourceData_FracWETIrrigation[Irrigation type i],Table_SourceData_FracWETIrrigation[FracWET])</f>
        <v>1</v>
      </c>
    </row>
    <row r="57" spans="1:9" ht="20.100000000000001" customHeight="1" x14ac:dyDescent="0.25">
      <c r="D57" s="109" t="str">
        <v>FracLEACH</v>
      </c>
      <c r="E57" s="110" t="str">
        <v>fraction of N that is lost through leaching and runoff</v>
      </c>
      <c r="F57" s="112"/>
      <c r="G57" s="109" t="str">
        <v>fraction</v>
      </c>
      <c r="H57" s="114" t="str">
        <v>Constant</v>
      </c>
      <c r="I57" s="109">
        <f>'Constants - Fertiliser'!$E$78</f>
        <v>0.24</v>
      </c>
    </row>
    <row r="58" spans="1:9" ht="20.100000000000001" customHeight="1" x14ac:dyDescent="0.25">
      <c r="D58" s="109" t="str">
        <v>z</v>
      </c>
      <c r="E58" s="110" t="str">
        <v>location in leaching zone</v>
      </c>
      <c r="F58" s="112"/>
      <c r="G58" s="109" t="str">
        <v/>
      </c>
      <c r="H58" s="113" t="str">
        <v>Input</v>
      </c>
      <c r="I58" s="109" t="str">
        <f>X_Cell_Site_LeachingZone</f>
        <v>NO - Not in leaching zone</v>
      </c>
    </row>
    <row r="59" spans="1:9" ht="20.100000000000001" customHeight="1" x14ac:dyDescent="0.25">
      <c r="D59" s="109" t="str">
        <v>j</v>
      </c>
      <c r="E59" s="110" t="str">
        <v>production system</v>
      </c>
      <c r="F59" s="112"/>
      <c r="G59" s="109" t="str">
        <v/>
      </c>
      <c r="H59" s="113" t="str">
        <v>Input</v>
      </c>
      <c r="I59" s="109" t="str">
        <f>X_Cell_Fertiliser_ProductionSystem</f>
        <v>Crop</v>
      </c>
    </row>
    <row r="60" spans="1:9" ht="20.100000000000001" customHeight="1" x14ac:dyDescent="0.25">
      <c r="D60" s="109" t="str">
        <v>ir</v>
      </c>
      <c r="E60" s="110" t="str">
        <v>irrigation method</v>
      </c>
      <c r="F60" s="112"/>
      <c r="G60" s="109" t="str">
        <v/>
      </c>
      <c r="H60" s="113" t="str">
        <v>Input</v>
      </c>
      <c r="I60" s="109" t="str">
        <f>X_Cell_Fertiliser_IrrigationMethod</f>
        <v>Sprinkler irrigation</v>
      </c>
    </row>
    <row r="61" spans="1:9" ht="20.100000000000001" customHeight="1" x14ac:dyDescent="0.25"/>
    <row r="62" spans="1:9" ht="20.100000000000001" customHeight="1" x14ac:dyDescent="0.25">
      <c r="D62" s="116" t="s">
        <v>616</v>
      </c>
    </row>
    <row r="63" spans="1:9" ht="20.100000000000001" customHeight="1" x14ac:dyDescent="0.25">
      <c r="D63" s="117" t="s">
        <v>617</v>
      </c>
    </row>
    <row r="64" spans="1:9" ht="20.100000000000001" customHeight="1" x14ac:dyDescent="0.25">
      <c r="D64" s="119" t="s">
        <v>577</v>
      </c>
      <c r="E64" s="186" t="s">
        <v>581</v>
      </c>
      <c r="F64" s="118"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2" t="s">
        <v>619</v>
      </c>
      <c r="E77" s="120">
        <f>SUM(F65:F75)</f>
        <v>170.4</v>
      </c>
      <c r="F77" s="127" t="str">
        <f>$E$53</f>
        <v>kg N</v>
      </c>
    </row>
    <row r="78" spans="3:11" ht="20.100000000000001" customHeight="1" x14ac:dyDescent="0.25"/>
    <row r="79" spans="3:11" ht="20.100000000000001" customHeight="1" x14ac:dyDescent="0.25">
      <c r="C79" s="185"/>
      <c r="D79" s="185"/>
      <c r="E79" s="185"/>
      <c r="F79" s="185"/>
      <c r="G79" s="185"/>
      <c r="H79" s="185"/>
      <c r="I79" s="185"/>
      <c r="J79" s="185"/>
      <c r="K79" s="18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7" t="s">
        <v>258</v>
      </c>
      <c r="E83" s="107"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9" t="str" cm="1">
        <f t="array" ref="D89:E92">_xlfn.CHOOSECOLS(Fertiliser_Equations_LeachingAndRunoff.VEERG_5_5_1_1__1_FertiliserLeachingAndRunoffN2OEmissions_Arguments(), 1, 2)</f>
        <v>M_leachinorganicj</v>
      </c>
      <c r="E89" s="110" t="str">
        <v>mass of nitrogen lost through leaching and runoff from inorganic fertiliser application in production system j</v>
      </c>
      <c r="F89" s="111"/>
      <c r="G89" s="112"/>
      <c r="H89" s="109" t="str" cm="1">
        <f t="array" ref="H89:I92">_xlfn.CHOOSECOLS(Fertiliser_Equations_LeachingAndRunoff.VEERG_5_5_1_1__1_FertiliserLeachingAndRunoffN2OEmissions_Arguments(), 3,4)</f>
        <v>kg N</v>
      </c>
      <c r="I89" s="114" t="str">
        <v>Calculated from 5.5.1.1 (2)</v>
      </c>
      <c r="J89" s="109">
        <f>$E$43</f>
        <v>3122.328</v>
      </c>
    </row>
    <row r="90" spans="4:10" ht="20.100000000000001" customHeight="1" x14ac:dyDescent="0.25">
      <c r="D90" s="109" t="str">
        <v>M_leachorganicj</v>
      </c>
      <c r="E90" s="110" t="str">
        <v>mass of nitrogen lost through leaching and runoff from organic fertiliser application</v>
      </c>
      <c r="F90" s="111"/>
      <c r="G90" s="112"/>
      <c r="H90" s="109" t="str">
        <v>kg N</v>
      </c>
      <c r="I90" s="114" t="str">
        <v>Calculated from 5.5.1.1 (3)</v>
      </c>
      <c r="J90" s="109">
        <f>$E$77</f>
        <v>170.4</v>
      </c>
    </row>
    <row r="91" spans="4:10" ht="20.100000000000001" customHeight="1" x14ac:dyDescent="0.25">
      <c r="D91" s="109" t="str">
        <v>EF_leach</v>
      </c>
      <c r="E91" s="110" t="str">
        <v>emission factor for nitrogen leaching and runoff</v>
      </c>
      <c r="F91" s="111"/>
      <c r="G91" s="112"/>
      <c r="H91" s="109" t="str">
        <v>kg N2O-N/kg N</v>
      </c>
      <c r="I91" s="114" t="str">
        <v>Constant</v>
      </c>
      <c r="J91" s="109">
        <f>'Constants - Fertiliser'!$E$83</f>
        <v>1.0999999999999999E-2</v>
      </c>
    </row>
    <row r="92" spans="4:10" ht="20.100000000000001" customHeight="1" x14ac:dyDescent="0.25">
      <c r="D92" s="109" t="str">
        <v>C_N2O</v>
      </c>
      <c r="E92" s="110" t="str">
        <v>factor to convert elemental mass of nitrous oxide to molecular mass</v>
      </c>
      <c r="F92" s="111"/>
      <c r="G92" s="112"/>
      <c r="H92" s="109" t="str">
        <v/>
      </c>
      <c r="I92" s="114" t="str">
        <v>Constant</v>
      </c>
      <c r="J92" s="12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21" t="s">
        <v>620</v>
      </c>
      <c r="E94" s="122" cm="1">
        <f t="array" ref="E94">Fertiliser_Equations_LeachingAndRunoff.VEERG_5_5_1_1__1_FertiliserLeachingAndRunoffN2OEmissions(J89,J90,J91,J92)</f>
        <v>5.6917155428571425E-2</v>
      </c>
      <c r="F94" s="123" t="str">
        <f>$E$87</f>
        <v>t N2O</v>
      </c>
    </row>
    <row r="95" spans="4:10" ht="20.100000000000001" customHeight="1" x14ac:dyDescent="0.25"/>
    <row r="96" spans="4:10" ht="20.100000000000001" customHeight="1" x14ac:dyDescent="0.25">
      <c r="D96" s="124" t="str" cm="1">
        <f t="array" ref="D96:E97">Common_Equations.Common_ConvertN2OToCO2e_Arguments()</f>
        <v>EN2O</v>
      </c>
      <c r="E96" s="125" t="str">
        <v>Nitrous oxide emissions (t N2O)</v>
      </c>
      <c r="F96" s="126"/>
      <c r="G96" s="25">
        <f>E94</f>
        <v>5.6917155428571425E-2</v>
      </c>
    </row>
    <row r="97" spans="4:7" ht="20.100000000000001" customHeight="1" x14ac:dyDescent="0.25">
      <c r="D97" s="124" t="str">
        <v>GWPN2O</v>
      </c>
      <c r="E97" s="125" t="str">
        <v>Global warming potential for nitrous oxide (t CO2-e / t N2O)</v>
      </c>
      <c r="F97" s="126"/>
      <c r="G97" s="25">
        <f>Common_InputFunctions.Utility_LookupValueInTableNumber("N2O",Table_GWPData[Gas],Table_GWPData[CO2-e factor])</f>
        <v>265</v>
      </c>
    </row>
    <row r="98" spans="4:7" ht="20.100000000000001" customHeight="1" x14ac:dyDescent="0.25"/>
    <row r="99" spans="4:7" ht="20.100000000000001" customHeight="1" x14ac:dyDescent="0.25">
      <c r="D99" s="120" t="s">
        <v>298</v>
      </c>
      <c r="E99" s="120" cm="1">
        <f t="array" ref="E99">Common_Equations.Common_ConvertN2OToCO2e(G96,G97)</f>
        <v>15.083046188571428</v>
      </c>
      <c r="F99" s="127"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6EB93-D757-4A98-9E8D-931B120D65A8}">
  <dimension ref="A1:U165"/>
  <sheetViews>
    <sheetView showGridLines="0" topLeftCell="A5"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7" t="s">
        <v>258</v>
      </c>
      <c r="E7" s="107"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260</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132</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19">_xlfn.CHOOSECOLS(AgResidue_Equations_PastureResidue.VEERG_6_2_1_1__2__MassOfNitrogenInPastureResidues_Arguments(), 1, 2)</f>
        <v>A_p</v>
      </c>
      <c r="E13" s="110" t="str">
        <v>area of pasture renewed or removed</v>
      </c>
      <c r="F13" s="111"/>
      <c r="G13" s="112"/>
      <c r="H13" s="109" t="str" cm="1">
        <f t="array" ref="H13:I19">_xlfn.CHOOSECOLS(AgResidue_Equations_PastureResidue.VEERG_6_2_1_1__2__MassOfNitrogenInPastureResidues_Arguments(), 3,4)</f>
        <v>ha</v>
      </c>
      <c r="I13" s="113" t="str">
        <v>Input</v>
      </c>
      <c r="J13" s="109">
        <f>X_Cell_Pasture_AreaRemovedOrRenewed</f>
        <v>500</v>
      </c>
      <c r="N13" s="109" t="str" cm="1">
        <f t="array" ref="N13:O19">_xlfn.CHOOSECOLS(AgResidue_Equations_PastureResidue.VEERG_6_2_1_1__2__MassOfNitrogenInPastureResidues_Arguments_Method2(), 1, 2)</f>
        <v>A_p</v>
      </c>
      <c r="O13" s="110" t="str">
        <v>area of pasture renewed or removed</v>
      </c>
      <c r="P13" s="111"/>
      <c r="Q13" s="112"/>
      <c r="R13" s="109" t="str" cm="1">
        <f t="array" ref="R13:S19">_xlfn.CHOOSECOLS(AgResidue_Equations_PastureResidue.VEERG_6_2_1_1__2__MassOfNitrogenInPastureResidues_Arguments_Method2(), 3,4)</f>
        <v>ha</v>
      </c>
      <c r="S13" s="113" t="str">
        <v>Input</v>
      </c>
      <c r="T13" s="109"/>
    </row>
    <row r="14" spans="1:21" ht="20.100000000000001" customHeight="1" x14ac:dyDescent="0.25">
      <c r="A14" s="5" t="str">
        <f>HYPERLINK("#'Input - Fertiliser'!A1", "Fertiliser")</f>
        <v>Fertiliser</v>
      </c>
      <c r="D14" s="109" t="str">
        <v>Y_p</v>
      </c>
      <c r="E14" s="110" t="str">
        <v>average yield of pasture crop</v>
      </c>
      <c r="F14" s="111"/>
      <c r="G14" s="112"/>
      <c r="H14" s="109" t="str">
        <v>t DM/ha</v>
      </c>
      <c r="I14" s="114" t="str">
        <v>Constant</v>
      </c>
      <c r="J14" s="109" cm="1">
        <f t="array" ref="J14">Common_InputFunctions.Utility_LookupValueInTableNumber($J$19,Table_SourceData_PastureAttributes[Pasture type],Table_SourceData_PastureAttributes[Average Yield (t DM ha) Yp])</f>
        <v>8.34</v>
      </c>
      <c r="N14" s="109" t="str">
        <v>Y_p</v>
      </c>
      <c r="O14" s="110" t="str">
        <v>average yield of pasture crop</v>
      </c>
      <c r="P14" s="111"/>
      <c r="Q14" s="112"/>
      <c r="R14" s="109" t="str">
        <v>t DM/ha</v>
      </c>
      <c r="S14" s="113" t="str">
        <v>Input</v>
      </c>
      <c r="T14" s="109">
        <f>X_Cell_Pasture_YieldPerHectare</f>
        <v>8.34</v>
      </c>
    </row>
    <row r="15" spans="1:21" ht="20.100000000000001" customHeight="1" x14ac:dyDescent="0.25">
      <c r="A15" s="5" t="str">
        <f>HYPERLINK("#'Input - Fuel'!A1", "Fuel")</f>
        <v>Fuel</v>
      </c>
      <c r="D15" s="109" t="str">
        <v>NC_AGp</v>
      </c>
      <c r="E15" s="110" t="str">
        <v>N content of above-ground pasture residue</v>
      </c>
      <c r="F15" s="111"/>
      <c r="G15" s="112"/>
      <c r="H15" s="109" t="str">
        <v>kg N/kg DM</v>
      </c>
      <c r="I15" s="114" t="str">
        <v>Constant</v>
      </c>
      <c r="J15" s="109" cm="1">
        <f t="array" ref="J15">Common_InputFunctions.Utility_LookupValueInTableNumber($J$19,Table_SourceData_PastureAttributes[Pasture type],Table_SourceData_PastureAttributes[N content Above-ground NCAGp])</f>
        <v>2.5000000000000001E-2</v>
      </c>
      <c r="N15" s="109" t="str">
        <v>NC_AGp</v>
      </c>
      <c r="O15" s="110" t="str">
        <v>N content of above-ground pasture residue</v>
      </c>
      <c r="P15" s="111"/>
      <c r="Q15" s="112"/>
      <c r="R15" s="109" t="str">
        <v>kg N/kg DM</v>
      </c>
      <c r="S15" s="114" t="str">
        <v>Constant</v>
      </c>
      <c r="T15" s="109"/>
    </row>
    <row r="16" spans="1:21" ht="20.100000000000001" customHeight="1" x14ac:dyDescent="0.25">
      <c r="A16" s="5" t="str">
        <f>HYPERLINK("#'Input - Electricity'!A1", "Electricity")</f>
        <v>Electricity</v>
      </c>
      <c r="D16" s="109" t="str">
        <v>R_BGp</v>
      </c>
      <c r="E16" s="110" t="str">
        <v>below-ground residue to above-ground residue ratio for pasture crop</v>
      </c>
      <c r="F16" s="111"/>
      <c r="G16" s="112"/>
      <c r="H16" s="109" t="str">
        <v/>
      </c>
      <c r="I16" s="114" t="str">
        <v>Constant</v>
      </c>
      <c r="J16" s="109" cm="1">
        <f t="array" ref="J16">Common_InputFunctions.Utility_LookupValueInTableNumber($J$19,Table_SourceData_PastureAttributes[Pasture type],Table_SourceData_PastureAttributes[Below-ground: above-ground residue ratio RBGp])</f>
        <v>0.8</v>
      </c>
      <c r="N16" s="109" t="str">
        <v>R_BGp</v>
      </c>
      <c r="O16" s="110" t="str">
        <v>below-ground residue to above-ground residue ratio for pasture crop</v>
      </c>
      <c r="P16" s="111"/>
      <c r="Q16" s="112"/>
      <c r="R16" s="109" t="str">
        <v/>
      </c>
      <c r="S16" s="114" t="str">
        <v>Constant</v>
      </c>
      <c r="T16" s="109"/>
    </row>
    <row r="17" spans="1:21" ht="20.100000000000001" customHeight="1" x14ac:dyDescent="0.25">
      <c r="A17" s="5" t="str">
        <f>HYPERLINK("#'Input - Farm Inputs'!A1", "Farm Inputs")</f>
        <v>Farm Inputs</v>
      </c>
      <c r="D17" s="109" t="str">
        <v>NC_BGp</v>
      </c>
      <c r="E17" s="110" t="str">
        <v>N content of below-ground pasture crop residue</v>
      </c>
      <c r="F17" s="111"/>
      <c r="G17" s="112"/>
      <c r="H17" s="109" t="str">
        <v>kg N/kg DM</v>
      </c>
      <c r="I17" s="114" t="str">
        <v>Constant</v>
      </c>
      <c r="J17" s="109" cm="1">
        <f t="array" ref="J17">Common_InputFunctions.Utility_LookupValueInTableNumber($J$19,Table_SourceData_PastureAttributes[Pasture type],Table_SourceData_PastureAttributes[N content Below-ground NCBGp])</f>
        <v>1.6E-2</v>
      </c>
      <c r="N17" s="109" t="str">
        <v>NC_BGp</v>
      </c>
      <c r="O17" s="110" t="str">
        <v>N content of below-ground pasture crop residue</v>
      </c>
      <c r="P17" s="111"/>
      <c r="Q17" s="112"/>
      <c r="R17" s="109" t="str">
        <v>kg N/kg DM</v>
      </c>
      <c r="S17" s="114" t="str">
        <v>Constant</v>
      </c>
      <c r="T17" s="109"/>
    </row>
    <row r="18" spans="1:21" ht="20.100000000000001" customHeight="1" x14ac:dyDescent="0.25">
      <c r="A18" s="5" t="str">
        <f>HYPERLINK("#'Input - Freight'!A1", "Freight")</f>
        <v>Freight</v>
      </c>
      <c r="D18" s="109" t="str">
        <v>FFOD_p</v>
      </c>
      <c r="E18" s="110" t="str">
        <v>fraction of pasture yield that is removed</v>
      </c>
      <c r="F18" s="111"/>
      <c r="G18" s="112"/>
      <c r="H18" s="109" t="str">
        <v>fraction</v>
      </c>
      <c r="I18" s="114" t="str">
        <v>Constant</v>
      </c>
      <c r="J18" s="109" cm="1">
        <f t="array" ref="J18">Common_InputFunctions.Utility_LookupValueInTableNumber($J$19,Table_SourceData_PastureAttributes[Pasture type],Table_SourceData_PastureAttributes[Fraction of pasture yield that is removed FFODp])</f>
        <v>0.8</v>
      </c>
      <c r="N18" s="109" t="str">
        <v>FFOD_p</v>
      </c>
      <c r="O18" s="110" t="str">
        <v>fraction of pasture yield that is removed</v>
      </c>
      <c r="P18" s="111"/>
      <c r="Q18" s="112"/>
      <c r="R18" s="109" t="str">
        <v>fraction</v>
      </c>
      <c r="S18" s="114" t="str">
        <v>Constant</v>
      </c>
      <c r="T18" s="109"/>
    </row>
    <row r="19" spans="1:21" ht="20.100000000000001" customHeight="1" x14ac:dyDescent="0.25">
      <c r="A19" s="5" t="str">
        <f>HYPERLINK("#'Input - Manure sent off-site'!A1", "Manure sent off-site")</f>
        <v>Manure sent off-site</v>
      </c>
      <c r="D19" s="109" t="str">
        <v>p</v>
      </c>
      <c r="E19" s="110" t="str">
        <v>Pasture type</v>
      </c>
      <c r="F19" s="111"/>
      <c r="G19" s="112"/>
      <c r="H19" s="109" t="str">
        <v/>
      </c>
      <c r="I19" s="113" t="str">
        <v>Input</v>
      </c>
      <c r="J19" s="109" t="str">
        <f>X_Cell_Pasture_PastureType</f>
        <v>Grass clover mixture</v>
      </c>
      <c r="N19" s="109" t="str">
        <v>p</v>
      </c>
      <c r="O19" s="110" t="str">
        <v>Pasture type</v>
      </c>
      <c r="P19" s="111"/>
      <c r="Q19" s="112"/>
      <c r="R19" s="109" t="str">
        <v/>
      </c>
      <c r="S19" s="113" t="str">
        <v>Input</v>
      </c>
      <c r="T19" s="109"/>
    </row>
    <row r="20" spans="1:21" ht="20.100000000000001" customHeight="1" x14ac:dyDescent="0.25">
      <c r="A20" s="5" t="str">
        <f>HYPERLINK("#'Input - Solid waste'!A1", "Solid waste")</f>
        <v>Solid waste</v>
      </c>
    </row>
    <row r="21" spans="1:21" ht="20.100000000000001" customHeight="1" x14ac:dyDescent="0.25">
      <c r="D21" s="132" t="s">
        <v>883</v>
      </c>
      <c r="E21" s="120" cm="1">
        <f t="array" ref="E21">AgResidue_Equations_PastureResidue.VEERG_6_2_1_1__2__MassOfNitrogenInPastureResidues(J13,J14,J18,J15,J16,J17)</f>
        <v>7.4226E-2</v>
      </c>
      <c r="F21" s="127" t="str" cm="1">
        <f t="array" ref="F21">AgResidue_Equations_PastureResidue.VEERG_6_2_1_1__2__MassOfNitrogenInPastureResidues_Unit()</f>
        <v>kg N</v>
      </c>
      <c r="N21" s="132" t="s">
        <v>883</v>
      </c>
      <c r="O21" s="120" cm="1">
        <f t="array" ref="O21">AgResidue_Equations_PastureResidue.VEERG_6_2_1_1__2__MassOfNitrogenInPastureResidues(J13,T14,J18,J15,J16,J17)</f>
        <v>7.4226E-2</v>
      </c>
      <c r="P21" s="127" t="str" cm="1">
        <f t="array" ref="P21">AgResidue_Equations_PastureResidue.VEERG_6_2_1_1__2__MassOfNitrogenInPastureResidues_Unit()</f>
        <v>kg N</v>
      </c>
    </row>
    <row r="22" spans="1:21" ht="20.100000000000001" customHeight="1" x14ac:dyDescent="0.25"/>
    <row r="23" spans="1:21" ht="20.100000000000001" customHeight="1" x14ac:dyDescent="0.25">
      <c r="A23" s="6" t="s">
        <v>2</v>
      </c>
    </row>
    <row r="24" spans="1:21" ht="20.100000000000001" customHeight="1" x14ac:dyDescent="0.25">
      <c r="A24" s="5" t="str">
        <f>HYPERLINK("#'3.2.1.1-2 Enteric Methane'!A1", "3.2.1.1-2 Enteric methane")</f>
        <v>3.2.1.1-2 Enteric methane</v>
      </c>
      <c r="C24" s="120"/>
      <c r="D24" s="120"/>
      <c r="E24" s="120"/>
      <c r="F24" s="120"/>
      <c r="G24" s="120"/>
      <c r="H24" s="120"/>
      <c r="I24" s="120"/>
      <c r="J24" s="120"/>
      <c r="K24" s="120"/>
      <c r="M24" s="120"/>
      <c r="N24" s="120"/>
      <c r="O24" s="120"/>
      <c r="P24" s="120"/>
      <c r="Q24" s="120"/>
      <c r="R24" s="120"/>
      <c r="S24" s="120"/>
      <c r="T24" s="120"/>
      <c r="U24" s="120"/>
    </row>
    <row r="25" spans="1:21" ht="20.100000000000001" customHeight="1" x14ac:dyDescent="0.25">
      <c r="A25" s="5" t="str">
        <f>HYPERLINK("#'4.2.1.1-2 Methane'!A1", "4.2.1.1-2 Manure methane")</f>
        <v>4.2.1.1-2 Manure methane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HYPERLINK("#'4.2.1.3-4 Soil direct N20'!A1", "4.2.1.3-4 Soil direct N2O")</f>
        <v>4.2.1.3-4 Soil direct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HYPERLINK("#'4.2.1.5-6 Soil Atmos Dep'!A1", "4.2.1.5-6 Soil atm. deposition")</f>
        <v>4.2.1.5-6 Soil atm. deposition</v>
      </c>
      <c r="D27" s="107" t="s">
        <v>258</v>
      </c>
      <c r="E27" s="107" t="str" cm="1">
        <f t="array" aca="1" ref="E27" ca="1">Common_InputFunctions.Utility_DisplayFunctionName(E40)</f>
        <v>=AgResidue_Equations_PastureResidue.VEERG_6_2_1_1__1__NitrousOxideEmissionsFromPastureResidues</v>
      </c>
      <c r="N27" s="107" t="s">
        <v>258</v>
      </c>
      <c r="O27" s="107"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HYPERLINK("#'4.2.1.7-8 Soil leach runoff'!A1", "4.2.1.7-8 Soil leach &amp; runoff")</f>
        <v>4.2.1.7-8 Soil leach &amp; runoff</v>
      </c>
    </row>
    <row r="29" spans="1:21" ht="20.100000000000001" customHeight="1" x14ac:dyDescent="0.25">
      <c r="A29" s="5" t="str">
        <f>HYPERLINK("#'5.1.1.1-2 Inorganic fert N2O'!A1", "5.1.1.1-2 Inorganic fert N2O")</f>
        <v>5.1.1.1-2 Inorganic fert N2O</v>
      </c>
    </row>
    <row r="30" spans="1:21" ht="20.100000000000001" customHeight="1" x14ac:dyDescent="0.25">
      <c r="A30" s="5" t="str">
        <f>HYPERLINK("#'5.1.1.3-4 Inorganic fert CO2'!A1", "5.1.1.3-4 Inorganic fert CO2")</f>
        <v>5.1.1.3-4 Inorganic fert CO2</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HYPERLINK("#'5.2.1.1-2 Organic Fert N2O'!A1", "5.2.1.1-2 Organic fert N2O")</f>
        <v>5.2.1.1-2 Organic fert N2O</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HYPERLINK("#'5.3.1.1-2 Lime CO2'!A1", "5.3.1.1-2 Lime CO2")</f>
        <v>5.3.1.1-2 Lime CO2</v>
      </c>
    </row>
    <row r="33" spans="1:20" ht="20.100000000000001" customHeight="1" x14ac:dyDescent="0.25">
      <c r="A33" s="5" t="str">
        <f>HYPERLINK("#'5.4.1.1-4 Atmos deposition'!A1", "5.4.1.1-4 Atmos. deposition")</f>
        <v>5.4.1.1-4 Atmos. deposition</v>
      </c>
      <c r="D33" s="109" t="str" cm="1">
        <f t="array" ref="D33:E37">_xlfn.CHOOSECOLS(AgResidue_Equations_PastureResidue.VEERG_6_2_1_1__1__NitrousOxideEmissionsFromPastureResidues_Arguments(), 1, 2)</f>
        <v>M_p</v>
      </c>
      <c r="E33" s="110" t="str">
        <v>mass of nitrogen in pasture p residues returned to the soil</v>
      </c>
      <c r="F33" s="111"/>
      <c r="G33" s="112"/>
      <c r="H33" s="109" t="str" cm="1">
        <f t="array" ref="H33:I37">_xlfn.CHOOSECOLS(AgResidue_Equations_PastureResidue.VEERG_6_2_1_1__1__NitrousOxideEmissionsFromPastureResidues_Arguments(), 3,4)</f>
        <v>kg N</v>
      </c>
      <c r="I33" s="114" t="str">
        <v>Calculated from 6.2.1.1 (2)</v>
      </c>
      <c r="J33" s="109">
        <f>$E$21</f>
        <v>7.4226E-2</v>
      </c>
      <c r="N33" s="109" t="str" cm="1">
        <f t="array" ref="N33:O37">_xlfn.CHOOSECOLS(AgResidue_Equations_PastureResidue.VEERG_6_2_1_1__1__NitrousOxideEmissionsFromPastureResidues_Arguments(), 1, 2)</f>
        <v>M_p</v>
      </c>
      <c r="O33" s="110" t="str">
        <v>mass of nitrogen in pasture p residues returned to the soil</v>
      </c>
      <c r="P33" s="111"/>
      <c r="Q33" s="112"/>
      <c r="R33" s="109" t="str" cm="1">
        <f t="array" ref="R33:S37">_xlfn.CHOOSECOLS(AgResidue_Equations_PastureResidue.VEERG_6_2_1_1__1__NitrousOxideEmissionsFromPastureResidues_Arguments(), 3,4)</f>
        <v>kg N</v>
      </c>
      <c r="S33" s="114" t="str">
        <v>Calculated from 6.2.1.1 (2)</v>
      </c>
      <c r="T33" s="109">
        <f>$O$21</f>
        <v>7.4226E-2</v>
      </c>
    </row>
    <row r="34" spans="1:20" ht="20.100000000000001" customHeight="1" x14ac:dyDescent="0.25">
      <c r="A34" s="5" t="str">
        <f>HYPERLINK("#'5.5.1.1-2 Leaching and runoff'!A1", "5.5.1.1-2 Leaching &amp; runoff")</f>
        <v>5.5.1.1-2 Leaching &amp; runoff</v>
      </c>
      <c r="D34" s="109" t="str">
        <v>EF_Ni</v>
      </c>
      <c r="E34" s="110" t="str">
        <v>emission factor for crop residues returned to the soil in climate zone i</v>
      </c>
      <c r="F34" s="111"/>
      <c r="G34" s="112"/>
      <c r="H34" s="109" t="str">
        <v>kg N2O-N/kg N</v>
      </c>
      <c r="I34" s="114" t="str">
        <v>Constant</v>
      </c>
      <c r="J34" s="109" cm="1">
        <f t="array" ref="J34">Common_InputFunctions.Utility_LookupValueInTableNumber(J37,Table_SourceData_N2OEFOrganicFert[Climate zone type i],Table_SourceData_N2OEFOrganicFert[EF i N2O])</f>
        <v>5.0000000000000001E-3</v>
      </c>
      <c r="N34" s="109" t="str">
        <v>EF_Ni</v>
      </c>
      <c r="O34" s="110" t="str">
        <v>emission factor for crop residues returned to the soil in climate zone i</v>
      </c>
      <c r="P34" s="111"/>
      <c r="Q34" s="112"/>
      <c r="R34" s="109" t="str">
        <v>kg N2O-N/kg N</v>
      </c>
      <c r="S34" s="114" t="str">
        <v>Constant</v>
      </c>
      <c r="T34" s="109"/>
    </row>
    <row r="35" spans="1:20" ht="20.100000000000001" customHeight="1" x14ac:dyDescent="0.25">
      <c r="A35" s="108" t="str">
        <f>HYPERLINK("#'6.2.1.1-2 Pasture residue N2O'!A1", "6.2.1.1-2 Pasture residue N2O")</f>
        <v>6.2.1.1-2 Pasture residue N2O</v>
      </c>
      <c r="D35" s="109" t="str">
        <v>C_N2O</v>
      </c>
      <c r="E35" s="110" t="str">
        <v>factor to convert elemental mass of nitrous oxide to molecular mass</v>
      </c>
      <c r="F35" s="111"/>
      <c r="G35" s="112"/>
      <c r="H35" s="109" t="str">
        <v>dimensionless</v>
      </c>
      <c r="I35" s="114" t="str">
        <v>Constant</v>
      </c>
      <c r="J35" s="109">
        <f>Common_InputFunctions.Utility_LookupValueInTableNumber("N2O",Table_GasToMolecularConversionFactor[Gas],Table_GasToMolecularConversionFactor[Conversion factor combined])</f>
        <v>1.5714285714285714</v>
      </c>
      <c r="N35" s="109" t="str">
        <v>C_N2O</v>
      </c>
      <c r="O35" s="110" t="str">
        <v>factor to convert elemental mass of nitrous oxide to molecular mass</v>
      </c>
      <c r="P35" s="111"/>
      <c r="Q35" s="112"/>
      <c r="R35" s="109" t="str">
        <v>dimensionless</v>
      </c>
      <c r="S35" s="114" t="str">
        <v>Constant</v>
      </c>
      <c r="T35" s="109"/>
    </row>
    <row r="36" spans="1:20" ht="20.100000000000001" customHeight="1" x14ac:dyDescent="0.25">
      <c r="A36" s="5" t="str">
        <f>HYPERLINK("#'6.3.1.1-2 Leach runoff pasture'!A1", "6.3.1.1-2 Leach &amp; runoff (pasture)")</f>
        <v>6.3.1.1-2 Leach &amp; runoff (pasture)</v>
      </c>
      <c r="D36" s="109" t="str">
        <v>p</v>
      </c>
      <c r="E36" s="110" t="str">
        <v>Pasture type</v>
      </c>
      <c r="F36" s="111"/>
      <c r="G36" s="112"/>
      <c r="H36" s="109" t="str">
        <v/>
      </c>
      <c r="I36" s="113" t="str">
        <v>Input</v>
      </c>
      <c r="J36" s="109" t="str">
        <f>X_Cell_Pasture_PastureType</f>
        <v>Grass clover mixture</v>
      </c>
      <c r="N36" s="109" t="str">
        <v>p</v>
      </c>
      <c r="O36" s="110" t="str">
        <v>Pasture type</v>
      </c>
      <c r="P36" s="111"/>
      <c r="Q36" s="112"/>
      <c r="R36" s="109" t="str">
        <v/>
      </c>
      <c r="S36" s="113" t="str">
        <v>Input</v>
      </c>
      <c r="T36" s="109"/>
    </row>
    <row r="37" spans="1:20" ht="20.100000000000001" customHeight="1" x14ac:dyDescent="0.25">
      <c r="A37" s="5" t="str">
        <f>HYPERLINK("#'8.1.1.1-2 Transport fuel'!A1", "8.1.1.1-2 Transport fuel")</f>
        <v>8.1.1.1-2 Transport fuel</v>
      </c>
      <c r="D37" s="109" t="str">
        <v>i</v>
      </c>
      <c r="E37" s="110" t="str">
        <v>Wet or dry climate zone</v>
      </c>
      <c r="F37" s="111"/>
      <c r="G37" s="112"/>
      <c r="H37" s="109" t="str">
        <v/>
      </c>
      <c r="I37" s="113" t="str">
        <v>Input</v>
      </c>
      <c r="J37" s="109" t="str">
        <f>X_Cell_Site_WetOrDryClimateZone</f>
        <v>Dry climate zone</v>
      </c>
      <c r="N37" s="109" t="str">
        <v>i</v>
      </c>
      <c r="O37" s="110" t="str">
        <v>Wet or dry climate zone</v>
      </c>
      <c r="P37" s="111"/>
      <c r="Q37" s="112"/>
      <c r="R37" s="109" t="str">
        <v/>
      </c>
      <c r="S37" s="113" t="str">
        <v>Input</v>
      </c>
      <c r="T37" s="109"/>
    </row>
    <row r="38" spans="1:20" ht="20.100000000000001" customHeight="1" x14ac:dyDescent="0.25">
      <c r="A38" s="5" t="str">
        <f>HYPERLINK("#'8.2.1.1-2 Stationary fuel'!A1", "8.2.1.1-2 Stationary fuel")</f>
        <v>8.2.1.1-2 Stationary fuel</v>
      </c>
    </row>
    <row r="39" spans="1:20" ht="20.100000000000001" customHeight="1" x14ac:dyDescent="0.25">
      <c r="A39" s="5" t="str">
        <f>HYPERLINK("#'14.1.1-2 Purchased electricity'!A1", "14.1.1-2 Purchased electricity")</f>
        <v>14.1.1-2 Purchased electricity</v>
      </c>
    </row>
    <row r="40" spans="1:20" ht="20.100000000000001" customHeight="1" x14ac:dyDescent="0.25">
      <c r="A40" s="5" t="str">
        <f>HYPERLINK("#'15 Scope 3'!A1", "15 Scope 3")</f>
        <v>15 Scope 3</v>
      </c>
      <c r="D40" s="121" t="s">
        <v>565</v>
      </c>
      <c r="E40" s="122" cm="1">
        <f t="array" ref="E40">AgResidue_Equations_PastureResidue.VEERG_6_2_1_1__1__NitrousOxideEmissionsFromPastureResidues(J33,J34,J35)</f>
        <v>5.8320428571428569E-7</v>
      </c>
      <c r="F40" s="123" t="str" cm="1">
        <f t="array" ref="F40">AgResidue_Equations_PastureResidue.VEERG_6_2_1_1__1__NitrousOxideEmissionsFromPastureResidues_Unit()</f>
        <v>t N2O</v>
      </c>
      <c r="N40" s="121" t="s">
        <v>565</v>
      </c>
      <c r="O40" s="122" cm="1">
        <f t="array" ref="O40">AgResidue_Equations_PastureResidue.VEERG_6_2_1_1__1__NitrousOxideEmissionsFromPastureResidues(T33,J34,J35)</f>
        <v>5.8320428571428569E-7</v>
      </c>
      <c r="P40" s="123" t="str" cm="1">
        <f t="array" ref="P40">AgResidue_Equations_PastureResidue.VEERG_6_2_1_1__1__NitrousOxideEmissionsFromPastureResidues_Unit()</f>
        <v>t N2O</v>
      </c>
    </row>
    <row r="41" spans="1:20" ht="20.100000000000001" customHeight="1" x14ac:dyDescent="0.25">
      <c r="A41" s="5" t="str">
        <f>HYPERLINK("#'Calcs - Manure sent off-site'!A1", "Calcs - Manure sent off-site")</f>
        <v>Calcs - Manure sent off-site</v>
      </c>
    </row>
    <row r="42" spans="1:20" ht="20.100000000000001" customHeight="1" x14ac:dyDescent="0.25">
      <c r="A42" s="5" t="str">
        <f>HYPERLINK("#'10.1.1-2 Solid waste treatment'!A1", "10.1.1-2 Solid waste treatment")</f>
        <v>10.1.1-2 Solid waste treatment</v>
      </c>
      <c r="D42" s="124" t="str" cm="1">
        <f t="array" ref="D42:E43">Common_Equations.Common_ConvertN2OToCO2e_Arguments()</f>
        <v>EN2O</v>
      </c>
      <c r="E42" s="125" t="str">
        <v>Nitrous oxide emissions (t N2O)</v>
      </c>
      <c r="F42" s="173"/>
      <c r="G42" s="124">
        <f>E40</f>
        <v>5.8320428571428569E-7</v>
      </c>
      <c r="N42" s="124" t="str" cm="1">
        <f t="array" ref="N42:O43">Common_Equations.Common_ConvertN2OToCO2e_Arguments()</f>
        <v>EN2O</v>
      </c>
      <c r="O42" s="125" t="str">
        <v>Nitrous oxide emissions (t N2O)</v>
      </c>
      <c r="P42" s="173"/>
      <c r="Q42" s="124">
        <f>O40</f>
        <v>5.8320428571428569E-7</v>
      </c>
    </row>
    <row r="43" spans="1:20" ht="20.100000000000001" customHeight="1" x14ac:dyDescent="0.25">
      <c r="D43" s="124" t="str">
        <v>GWPN2O</v>
      </c>
      <c r="E43" s="125" t="str">
        <v>Global warming potential for nitrous oxide (t CO2-e / t N2O)</v>
      </c>
      <c r="F43" s="173"/>
      <c r="G43" s="25">
        <f>Common_InputFunctions.Utility_LookupValueInTableNumber("N2O",Table_GWPData[Gas],Table_GWPData[CO2-e factor])</f>
        <v>265</v>
      </c>
      <c r="N43" s="124" t="str">
        <v>GWPN2O</v>
      </c>
      <c r="O43" s="125" t="str">
        <v>Global warming potential for nitrous oxide (t CO2-e / t N2O)</v>
      </c>
      <c r="P43" s="173"/>
      <c r="Q43" s="25">
        <f>Common_InputFunctions.Utility_LookupValueInTableNumber("N2O",Table_GWPData[Gas],Table_GWPData[CO2-e factor])</f>
        <v>265</v>
      </c>
    </row>
    <row r="44" spans="1:20" ht="20.100000000000001" customHeight="1" x14ac:dyDescent="0.25"/>
    <row r="45" spans="1:20" ht="20.100000000000001" customHeight="1" x14ac:dyDescent="0.25">
      <c r="A45" s="94" t="s">
        <v>1</v>
      </c>
      <c r="D45" s="1" t="s">
        <v>884</v>
      </c>
      <c r="E45" s="1" cm="1">
        <f t="array" ref="E45">Common_Equations.Common_ConvertN2OToCO2e(G42,G43)</f>
        <v>1.545491357142857E-4</v>
      </c>
      <c r="F45" s="15" t="str" cm="1">
        <f t="array" ref="F45">Common_Equations.Common_ConvertN2OToCO2e_Unit()</f>
        <v>t CO2e</v>
      </c>
      <c r="N45" s="1" t="s">
        <v>884</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HYPERLINK("#'Constants - Pasture Beef'!A1", "Constants - Pasture Beef")</f>
        <v>Constants - Pasture Beef</v>
      </c>
    </row>
    <row r="47" spans="1:20" ht="20.100000000000001" customHeight="1" x14ac:dyDescent="0.25">
      <c r="A47" s="5" t="str">
        <f>HYPERLINK("#'Constants - Ag Residue'!A1", "Constants - Ag residue")</f>
        <v>Constants - Ag residue</v>
      </c>
    </row>
    <row r="48" spans="1:20"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9D269-7C31-43D9-8676-FD07B1E08660}">
  <dimension ref="A1:T165"/>
  <sheetViews>
    <sheetView showGridLines="0" topLeftCell="A2"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885</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7" t="s">
        <v>258</v>
      </c>
      <c r="E7" s="107" t="str" cm="1">
        <f t="array" aca="1" ref="E7" ca="1">Common_InputFunctions.Utility_DisplayFunctionName(I25)</f>
        <v>=AgResidue_Equations_Leaching.VEERG_6_3_1_1__2__MassOfNitrogenLostThroughLeachingAndRunoff</v>
      </c>
      <c r="F7" s="107"/>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Pasture'!A1", "Pasture")</f>
        <v>Pasture</v>
      </c>
      <c r="C13" s="8"/>
      <c r="D13" s="109" t="str" cm="1">
        <f t="array" ref="D13:E19">_xlfn.CHOOSECOLS(AgResidue_Equations_Leaching.VEERG_6_3_1_1__2__MassOfNitrogenLostThroughLeachingAndRunoff_Arguments(), 1,2)</f>
        <v>M_cp</v>
      </c>
      <c r="E13" s="110" t="str">
        <v>mass of nitrogen in crop residues c or pasture residues p applied to soils</v>
      </c>
      <c r="F13" s="111"/>
      <c r="G13" s="112"/>
      <c r="H13" s="109" t="str" cm="1">
        <f t="array" ref="H13:I19">_xlfn.CHOOSECOLS(AgResidue_Equations_Leaching.VEERG_6_3_1_1__2__MassOfNitrogenLostThroughLeachingAndRunoff_Arguments(), 3,4)</f>
        <v>kg N</v>
      </c>
      <c r="I13" s="114" t="str">
        <v>Calc from 6.1.1.1 (2) and 6.2.1.1 (2)</v>
      </c>
      <c r="J13" s="115" t="str" cm="1">
        <f t="array" aca="1" ref="J13" ca="1">HYPERLINK(Common_InputFunctions.Utility_SourceHyperlink($D$21), $D$21)</f>
        <v>M1_Table_M_leach_cp</v>
      </c>
      <c r="K13" s="8"/>
    </row>
    <row r="14" spans="1:20" ht="20.100000000000001" customHeight="1" x14ac:dyDescent="0.25">
      <c r="A14" s="5" t="str">
        <f>HYPERLINK("#'Input - Fertiliser'!A1", "Fertiliser")</f>
        <v>Fertiliser</v>
      </c>
      <c r="C14" s="8"/>
      <c r="D14" s="109" t="str">
        <v>FracWET_j</v>
      </c>
      <c r="E14" s="110" t="str">
        <v>fraction of N that is available for leaching and runoff from the leaching zone z and irrigation type ir</v>
      </c>
      <c r="F14" s="111"/>
      <c r="G14" s="112"/>
      <c r="H14" s="109" t="str">
        <v>fraction</v>
      </c>
      <c r="I14" s="114" t="str">
        <v>Constant</v>
      </c>
      <c r="J14" s="115" t="str" cm="1">
        <f t="array" aca="1" ref="J14" ca="1">HYPERLINK(Common_InputFunctions.Utility_SourceHyperlink($D$21), $D$21)</f>
        <v>M1_Table_M_leach_cp</v>
      </c>
      <c r="K14" s="8"/>
    </row>
    <row r="15" spans="1:20" ht="20.100000000000001" customHeight="1" x14ac:dyDescent="0.25">
      <c r="A15" s="5" t="str">
        <f>HYPERLINK("#'Input - Fuel'!A1", "Fuel")</f>
        <v>Fuel</v>
      </c>
      <c r="C15" s="8"/>
      <c r="D15" s="109" t="str">
        <v>FracLEACH</v>
      </c>
      <c r="E15" s="110" t="str">
        <v>fraction of N that is lost through leaching and runoff</v>
      </c>
      <c r="F15" s="111"/>
      <c r="G15" s="112"/>
      <c r="H15" s="109" t="str">
        <v>fraction</v>
      </c>
      <c r="I15" s="114" t="str">
        <v>Constant</v>
      </c>
      <c r="J15" s="109">
        <f>'Constants - Common'!$E$164</f>
        <v>0.24</v>
      </c>
      <c r="K15" s="8"/>
    </row>
    <row r="16" spans="1:20" ht="20.100000000000001" customHeight="1" x14ac:dyDescent="0.25">
      <c r="A16" s="5" t="str">
        <f>HYPERLINK("#'Input - Electricity'!A1", "Electricity")</f>
        <v>Electricity</v>
      </c>
      <c r="C16" s="8"/>
      <c r="D16" s="109" t="str">
        <v>z</v>
      </c>
      <c r="E16" s="110" t="str">
        <v>Location in leaching zone</v>
      </c>
      <c r="F16" s="111"/>
      <c r="G16" s="112"/>
      <c r="H16" s="109" t="str">
        <v/>
      </c>
      <c r="I16" s="113" t="str">
        <v>Input</v>
      </c>
      <c r="J16" s="115" t="str" cm="1">
        <f t="array" aca="1" ref="J16" ca="1">HYPERLINK(Common_InputFunctions.Utility_SourceHyperlink($D$21), $D$21)</f>
        <v>M1_Table_M_leach_cp</v>
      </c>
      <c r="K16" s="8"/>
    </row>
    <row r="17" spans="1:20" ht="20.100000000000001" customHeight="1" x14ac:dyDescent="0.25">
      <c r="A17" s="5" t="str">
        <f>HYPERLINK("#'Input - Farm Inputs'!A1", "Farm Inputs")</f>
        <v>Farm Inputs</v>
      </c>
      <c r="C17" s="8"/>
      <c r="D17" s="109" t="str">
        <v>c</v>
      </c>
      <c r="E17" s="110" t="str">
        <v>Crop residue type</v>
      </c>
      <c r="F17" s="111"/>
      <c r="G17" s="112"/>
      <c r="H17" s="109" t="str">
        <v/>
      </c>
      <c r="I17" s="113" t="str">
        <v>Input</v>
      </c>
      <c r="J17" s="109" t="s">
        <v>143</v>
      </c>
      <c r="K17" s="8"/>
    </row>
    <row r="18" spans="1:20" ht="20.100000000000001" customHeight="1" x14ac:dyDescent="0.25">
      <c r="A18" s="5" t="str">
        <f>HYPERLINK("#'Input - Freight'!A1", "Freight")</f>
        <v>Freight</v>
      </c>
      <c r="C18" s="8"/>
      <c r="D18" s="109" t="str">
        <v>p</v>
      </c>
      <c r="E18" s="110" t="str">
        <v>Pasture residue type</v>
      </c>
      <c r="F18" s="111"/>
      <c r="G18" s="112"/>
      <c r="H18" s="109" t="str">
        <v/>
      </c>
      <c r="I18" s="113" t="str">
        <v>Input</v>
      </c>
      <c r="J18" s="109" t="str">
        <f>X_Cell_Pasture_PastureType</f>
        <v>Grass clover mixture</v>
      </c>
      <c r="K18" s="8"/>
    </row>
    <row r="19" spans="1:20" ht="20.100000000000001" customHeight="1" x14ac:dyDescent="0.25">
      <c r="A19" s="5" t="str">
        <f>HYPERLINK("#'Input - Manure sent off-site'!A1", "Manure sent off-site")</f>
        <v>Manure sent off-site</v>
      </c>
      <c r="C19" s="8"/>
      <c r="D19" s="109" t="str">
        <v>ir</v>
      </c>
      <c r="E19" s="110" t="str">
        <v>Irrigation type</v>
      </c>
      <c r="F19" s="111"/>
      <c r="G19" s="112"/>
      <c r="H19" s="109" t="str">
        <v/>
      </c>
      <c r="I19" s="113" t="str">
        <v>Input</v>
      </c>
      <c r="J19" s="115" t="str" cm="1">
        <f t="array" aca="1" ref="J19" ca="1">HYPERLINK(Common_InputFunctions.Utility_SourceHyperlink($D$21), $D$21)</f>
        <v>M1_Table_M_leach_cp</v>
      </c>
      <c r="K19" s="8"/>
    </row>
    <row r="20" spans="1:20" ht="20.100000000000001" customHeight="1" x14ac:dyDescent="0.25">
      <c r="A20" s="5" t="str">
        <f>HYPERLINK("#'Input - Solid waste'!A1", "Solid waste")</f>
        <v>Solid waste</v>
      </c>
      <c r="C20" s="8"/>
      <c r="D20" s="8"/>
      <c r="E20" s="8"/>
      <c r="F20" s="8"/>
      <c r="G20" s="8"/>
      <c r="H20" s="8"/>
      <c r="I20" s="8"/>
      <c r="J20" s="8"/>
      <c r="K20" s="8"/>
    </row>
    <row r="21" spans="1:20" ht="20.100000000000001" customHeight="1" x14ac:dyDescent="0.25">
      <c r="C21" s="8"/>
      <c r="D21" s="116" t="s">
        <v>886</v>
      </c>
      <c r="E21" s="8"/>
      <c r="F21" s="8"/>
      <c r="G21" s="8"/>
      <c r="H21" s="8"/>
      <c r="I21" s="8"/>
      <c r="J21" s="8"/>
      <c r="K21" s="8"/>
      <c r="N21" s="116" t="s">
        <v>887</v>
      </c>
      <c r="O21" s="8"/>
      <c r="P21" s="8"/>
      <c r="Q21" s="8"/>
      <c r="R21" s="8"/>
      <c r="S21" s="8"/>
    </row>
    <row r="22" spans="1:20" ht="20.100000000000001" customHeight="1" x14ac:dyDescent="0.25">
      <c r="C22" s="8"/>
      <c r="D22" s="117" t="s">
        <v>888</v>
      </c>
      <c r="E22" s="8"/>
      <c r="F22" s="8"/>
      <c r="G22" s="8"/>
      <c r="H22" s="8"/>
      <c r="I22" s="8"/>
      <c r="J22" s="8"/>
      <c r="K22" s="8"/>
      <c r="N22" s="117" t="s">
        <v>889</v>
      </c>
      <c r="O22" s="8"/>
      <c r="P22" s="8"/>
      <c r="Q22" s="8"/>
      <c r="R22" s="8"/>
      <c r="S22" s="8"/>
    </row>
    <row r="23" spans="1:20" ht="20.100000000000001" customHeight="1" x14ac:dyDescent="0.25">
      <c r="A23" s="6" t="s">
        <v>2</v>
      </c>
      <c r="C23" s="8"/>
      <c r="D23" s="119" t="s">
        <v>890</v>
      </c>
      <c r="E23" s="118" t="s">
        <v>891</v>
      </c>
      <c r="F23" s="119" t="s">
        <v>892</v>
      </c>
      <c r="G23" s="119" t="s">
        <v>114</v>
      </c>
      <c r="H23" s="118" t="s">
        <v>893</v>
      </c>
      <c r="I23" s="118" t="s">
        <v>894</v>
      </c>
      <c r="J23" s="8"/>
      <c r="K23" s="8"/>
      <c r="N23" s="119" t="s">
        <v>890</v>
      </c>
      <c r="O23" s="118" t="s">
        <v>891</v>
      </c>
      <c r="P23" s="119" t="s">
        <v>892</v>
      </c>
      <c r="Q23" s="119" t="s">
        <v>114</v>
      </c>
      <c r="R23" s="118" t="s">
        <v>893</v>
      </c>
      <c r="S23" s="118" t="s">
        <v>894</v>
      </c>
    </row>
    <row r="24" spans="1:20" ht="20.100000000000001" customHeight="1" x14ac:dyDescent="0.25">
      <c r="A24" s="5" t="str">
        <f>HYPERLINK("#'3.2.1.1-2 Enteric Methane'!A1", "3.2.1.1-2 Enteric methane")</f>
        <v>3.2.1.1-2 Enteric methane</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HYPERLINK("#'4.2.1.1-2 Methane'!A1", "4.2.1.1-2 Manure methane")</f>
        <v>4.2.1.1-2 Manure methane</v>
      </c>
      <c r="D25" s="25" t="s">
        <v>237</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HYPERLINK("#'4.2.1.3-4 Soil direct N20'!A1", "4.2.1.3-4 Soil direct N2O")</f>
        <v>4.2.1.3-4 Soil direct N2O</v>
      </c>
    </row>
    <row r="27" spans="1:20" ht="20.100000000000001" customHeight="1" x14ac:dyDescent="0.25">
      <c r="A27" s="5" t="str">
        <f>HYPERLINK("#'4.2.1.5-6 Soil Atmos Dep'!A1", "4.2.1.5-6 Soil atm. deposition")</f>
        <v>4.2.1.5-6 Soil atm. deposition</v>
      </c>
      <c r="C27" s="243"/>
      <c r="D27" s="243"/>
      <c r="E27" s="243"/>
      <c r="F27" s="243"/>
      <c r="G27" s="243"/>
      <c r="H27" s="243"/>
      <c r="I27" s="243"/>
      <c r="J27" s="243"/>
      <c r="K27" s="243"/>
      <c r="M27" s="243"/>
      <c r="N27" s="243"/>
      <c r="O27" s="243"/>
      <c r="P27" s="243"/>
      <c r="Q27" s="243"/>
      <c r="R27" s="243"/>
      <c r="S27" s="243"/>
      <c r="T27" s="243"/>
    </row>
    <row r="28" spans="1:20" ht="20.100000000000001" customHeight="1" x14ac:dyDescent="0.25">
      <c r="A28" s="5" t="str">
        <f>HYPERLINK("#'4.2.1.7-8 Soil leach runoff'!A1", "4.2.1.7-8 Soil leach &amp; runoff")</f>
        <v>4.2.1.7-8 Soil leach &amp; runoff</v>
      </c>
      <c r="C28" s="8"/>
      <c r="D28" s="2" t="str" cm="1">
        <f t="array" ref="D28">AgResidue_Equations_Leaching.VEERG_6_3_1_1__1__LeachingAndRunoffEmissionsCropAndPastureResidue_Title()</f>
        <v>Nitrous oxide leaching and runoff emissions from crop and pasture residues returned to the soil</v>
      </c>
      <c r="E28" s="8"/>
      <c r="F28" s="244"/>
      <c r="G28" s="8"/>
      <c r="H28" s="8"/>
      <c r="I28" s="8"/>
      <c r="J28" s="8"/>
      <c r="K28" s="8"/>
    </row>
    <row r="29" spans="1:20" ht="20.100000000000001" customHeight="1" x14ac:dyDescent="0.25">
      <c r="A29" s="5" t="str">
        <f>HYPERLINK("#'5.1.1.1-2 Inorganic fert N2O'!A1", "5.1.1.1-2 Inorganic fert N2O")</f>
        <v>5.1.1.1-2 Inorganic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HYPERLINK("#'5.1.1.3-4 Inorganic fert CO2'!A1", "5.1.1.3-4 Inorganic fert CO2")</f>
        <v>5.1.1.3-4 Inorganic fert CO2</v>
      </c>
      <c r="C30" s="8"/>
      <c r="D30" s="107" t="s">
        <v>258</v>
      </c>
      <c r="E30" s="10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HYPERLINK("#'5.2.1.1-2 Organic Fert N2O'!A1", "5.2.1.1-2 Organic fert N2O")</f>
        <v>5.2.1.1-2 Organic fert N2O</v>
      </c>
      <c r="C31" s="8"/>
      <c r="D31" s="8"/>
      <c r="E31" s="8"/>
      <c r="F31" s="8"/>
      <c r="G31" s="8"/>
      <c r="H31" s="8"/>
      <c r="I31" s="8"/>
      <c r="J31" s="8"/>
      <c r="K31" s="8"/>
    </row>
    <row r="32" spans="1:20" ht="20.100000000000001" customHeight="1" x14ac:dyDescent="0.25">
      <c r="A32" s="5" t="str">
        <f>HYPERLINK("#'5.3.1.1-2 Lime CO2'!A1", "5.3.1.1-2 Lime CO2")</f>
        <v>5.3.1.1-2 Lime CO2</v>
      </c>
      <c r="C32" s="8"/>
      <c r="D32" s="8"/>
      <c r="E32" s="8"/>
      <c r="F32" s="27"/>
      <c r="G32" s="8"/>
      <c r="H32" s="8"/>
      <c r="I32" s="8"/>
      <c r="J32" s="8"/>
      <c r="K32" s="8"/>
    </row>
    <row r="33" spans="1:17" ht="20.100000000000001" customHeight="1" x14ac:dyDescent="0.25">
      <c r="A33" s="5" t="str">
        <f>HYPERLINK("#'5.4.1.1-4 Atmos deposition'!A1", "5.4.1.1-4 Atmos. deposition")</f>
        <v>5.4.1.1-4 Atmos. deposition</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HYPERLINK("#'5.5.1.1-2 Leaching and runoff'!A1", "5.5.1.1-2 Leaching &amp; runoff")</f>
        <v>5.5.1.1-2 Leaching &amp; runoff</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HYPERLINK("#'6.2.1.1-2 Pasture residue N2O'!A1", "6.2.1.1-2 Pasture residue N2O")</f>
        <v>6.2.1.1-2 Pasture residue N2O</v>
      </c>
      <c r="C35" s="8"/>
      <c r="D35" s="8"/>
      <c r="E35" s="8"/>
      <c r="F35" s="8"/>
      <c r="G35" s="8"/>
      <c r="H35" s="8"/>
      <c r="I35" s="8"/>
      <c r="J35" s="8"/>
      <c r="K35" s="8"/>
    </row>
    <row r="36" spans="1:17" ht="20.100000000000001" customHeight="1" x14ac:dyDescent="0.25">
      <c r="A36" s="108" t="str">
        <f>HYPERLINK("#'6.3.1.1-2 Leach runoff pasture'!A1", "6.3.1.1-2 Leach &amp; runoff (pasture)")</f>
        <v>6.3.1.1-2 Leach &amp; runoff (pasture)</v>
      </c>
      <c r="C36" s="8"/>
      <c r="D36" s="109" t="str" cm="1">
        <f t="array" ref="D36:E40">_xlfn.CHOOSECOLS(AgResidue_Equations_Leaching.VEERG_6_3_1_1__1__LeachingAndRunoffEmissionsCropAndPastureResidue_Arguments(),1,2)</f>
        <v>M_leachcp</v>
      </c>
      <c r="E36" s="110" t="str">
        <v>mass of nitrogen lost through leaching and runoff from the crop residue c or pasture residue p</v>
      </c>
      <c r="F36" s="111"/>
      <c r="G36" s="112"/>
      <c r="H36" s="109" t="str" cm="1">
        <f t="array" ref="H36:I40">_xlfn.CHOOSECOLS(AgResidue_Equations_Leaching.VEERG_6_3_1_1__1__LeachingAndRunoffEmissionsCropAndPastureResidue_Arguments(),3,4)</f>
        <v>kg N</v>
      </c>
      <c r="I36" s="114" t="str">
        <v>Calculated from 6.3.1.1 (2)</v>
      </c>
      <c r="J36" s="109" t="str" cm="1">
        <f t="array" aca="1" ref="J36" ca="1">HYPERLINK(Common_InputFunctions.Utility_SourceHyperlink($D$21), $D$21)</f>
        <v>M1_Table_M_leach_cp</v>
      </c>
      <c r="K36" s="8"/>
    </row>
    <row r="37" spans="1:17" ht="20.100000000000001" customHeight="1" x14ac:dyDescent="0.25">
      <c r="A37" s="5" t="str">
        <f>HYPERLINK("#'8.1.1.1-2 Transport fuel'!A1", "8.1.1.1-2 Transport fuel")</f>
        <v>8.1.1.1-2 Transport fuel</v>
      </c>
      <c r="C37" s="8"/>
      <c r="D37" s="109" t="str">
        <v>EF_leach</v>
      </c>
      <c r="E37" s="110" t="str">
        <v>emission factor for leaching and runoff</v>
      </c>
      <c r="F37" s="111"/>
      <c r="G37" s="112"/>
      <c r="H37" s="109" t="str">
        <v>kg N2O-N/kg N</v>
      </c>
      <c r="I37" s="114" t="str">
        <v>Constant</v>
      </c>
      <c r="J37" s="109">
        <f>'Constants - Common'!$E$170</f>
        <v>1.0999999999999999E-2</v>
      </c>
      <c r="K37" s="8"/>
    </row>
    <row r="38" spans="1:17" ht="20.100000000000001" customHeight="1" x14ac:dyDescent="0.25">
      <c r="A38" s="5" t="str">
        <f>HYPERLINK("#'8.2.1.1-2 Stationary fuel'!A1", "8.2.1.1-2 Stationary fuel")</f>
        <v>8.2.1.1-2 Stationary fuel</v>
      </c>
      <c r="C38" s="8"/>
      <c r="D38" s="109" t="str">
        <v>C_N2O</v>
      </c>
      <c r="E38" s="110" t="str">
        <v>factor to convert elemental mass of nitrous oxide to molecular mass</v>
      </c>
      <c r="F38" s="111"/>
      <c r="G38" s="112"/>
      <c r="H38" s="109" t="str">
        <v>dimensionless</v>
      </c>
      <c r="I38" s="114" t="str">
        <v>Constant</v>
      </c>
      <c r="J38" s="109">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HYPERLINK("#'14.1.1-2 Purchased electricity'!A1", "14.1.1-2 Purchased electricity")</f>
        <v>14.1.1-2 Purchased electricity</v>
      </c>
      <c r="C39" s="8"/>
      <c r="D39" s="109" t="str">
        <v>c</v>
      </c>
      <c r="E39" s="110" t="str">
        <v>Crop residue type</v>
      </c>
      <c r="F39" s="111"/>
      <c r="G39" s="112"/>
      <c r="H39" s="109" t="str">
        <v/>
      </c>
      <c r="I39" s="113" t="str">
        <v>Input</v>
      </c>
      <c r="J39" s="109" t="s">
        <v>143</v>
      </c>
      <c r="K39" s="8"/>
    </row>
    <row r="40" spans="1:17" ht="20.100000000000001" customHeight="1" x14ac:dyDescent="0.25">
      <c r="A40" s="5" t="str">
        <f>HYPERLINK("#'15 Scope 3'!A1", "15 Scope 3")</f>
        <v>15 Scope 3</v>
      </c>
      <c r="C40" s="8"/>
      <c r="D40" s="109" t="str">
        <v>p</v>
      </c>
      <c r="E40" s="110" t="str">
        <v>Pasture residue type</v>
      </c>
      <c r="F40" s="111"/>
      <c r="G40" s="112"/>
      <c r="H40" s="109" t="str">
        <v/>
      </c>
      <c r="I40" s="113" t="str">
        <v>Input</v>
      </c>
      <c r="J40" s="109" t="str">
        <f>X_Cell_Pasture_PastureType</f>
        <v>Grass clover mixture</v>
      </c>
      <c r="K40" s="8"/>
    </row>
    <row r="41" spans="1:17" ht="20.100000000000001" customHeight="1" x14ac:dyDescent="0.25">
      <c r="A41" s="5" t="str">
        <f>HYPERLINK("#'Calcs - Manure sent off-site'!A1", "Calcs - Manure sent off-site")</f>
        <v>Calcs - Manure sent off-site</v>
      </c>
      <c r="C41" s="8"/>
      <c r="D41" s="8"/>
      <c r="E41" s="8"/>
      <c r="F41" s="8"/>
      <c r="G41" s="8"/>
      <c r="H41" s="8"/>
      <c r="I41" s="8"/>
      <c r="J41" s="8"/>
      <c r="K41" s="8"/>
    </row>
    <row r="42" spans="1:17" ht="20.100000000000001" customHeight="1" x14ac:dyDescent="0.25">
      <c r="A42" s="5" t="str">
        <f>HYPERLINK("#'10.1.1-2 Solid waste treatment'!A1", "10.1.1-2 Solid waste treatment")</f>
        <v>10.1.1-2 Solid waste treatment</v>
      </c>
      <c r="C42" s="8"/>
      <c r="D42" s="116" t="s">
        <v>560</v>
      </c>
      <c r="E42" s="8"/>
      <c r="F42" s="8"/>
      <c r="G42" s="8"/>
      <c r="H42" s="8"/>
      <c r="I42" s="8"/>
      <c r="J42" s="8"/>
      <c r="K42" s="8"/>
      <c r="N42" s="116" t="s">
        <v>560</v>
      </c>
      <c r="O42" s="8"/>
      <c r="P42" s="8"/>
      <c r="Q42" s="8"/>
    </row>
    <row r="43" spans="1:17" ht="20.100000000000001" customHeight="1" x14ac:dyDescent="0.25">
      <c r="C43" s="8"/>
      <c r="D43" s="117" t="s">
        <v>895</v>
      </c>
      <c r="E43" s="8"/>
      <c r="F43" s="8"/>
      <c r="G43" s="8"/>
      <c r="H43" s="8"/>
      <c r="I43" s="8"/>
      <c r="J43" s="8"/>
      <c r="K43" s="8"/>
      <c r="N43" s="117" t="s">
        <v>895</v>
      </c>
      <c r="O43" s="8"/>
      <c r="P43" s="8"/>
      <c r="Q43" s="8"/>
    </row>
    <row r="44" spans="1:17" ht="20.100000000000001" customHeight="1" x14ac:dyDescent="0.25">
      <c r="C44" s="8"/>
      <c r="D44" s="118" t="s">
        <v>894</v>
      </c>
      <c r="E44" s="118" t="s">
        <v>896</v>
      </c>
      <c r="F44" s="8"/>
      <c r="G44" s="8"/>
      <c r="H44" s="8"/>
      <c r="I44" s="8"/>
      <c r="J44" s="8"/>
      <c r="K44" s="8"/>
      <c r="N44" s="118" t="s">
        <v>894</v>
      </c>
      <c r="O44" s="118" t="s">
        <v>896</v>
      </c>
      <c r="P44" s="8"/>
      <c r="Q44" s="8"/>
    </row>
    <row r="45" spans="1:17" ht="20.100000000000001" customHeight="1" x14ac:dyDescent="0.25">
      <c r="A45" s="94" t="s">
        <v>1</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HYPERLINK("#'Constants - Pasture Beef'!A1", "Constants - Pasture Beef")</f>
        <v>Constants - Pasture Beef</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HYPERLINK("#'Constants - Ag Residue'!A1", "Constants - Ag residue")</f>
        <v>Constants - Ag residue</v>
      </c>
      <c r="C47" s="8"/>
      <c r="F47" s="8"/>
      <c r="G47" s="8"/>
      <c r="H47" s="8"/>
      <c r="I47" s="8"/>
      <c r="J47" s="8"/>
      <c r="K47" s="8"/>
      <c r="P47" s="8"/>
      <c r="Q47" s="8"/>
    </row>
    <row r="48" spans="1:17" ht="20.100000000000001" customHeight="1" x14ac:dyDescent="0.4">
      <c r="A48" s="5" t="str">
        <f>HYPERLINK("#'Constants - Common Livestock'!A1", "Constants - Common Livestock")</f>
        <v>Constants - Common Livestock</v>
      </c>
      <c r="C48" s="8"/>
      <c r="D48" s="245" t="s">
        <v>897</v>
      </c>
      <c r="E48" s="246">
        <f>SUM(E45:E46)</f>
        <v>3.0793186285714277E-7</v>
      </c>
      <c r="F48" s="123" t="str">
        <f>$E$34</f>
        <v>t N2O</v>
      </c>
      <c r="G48" s="8"/>
      <c r="H48" s="8"/>
      <c r="I48" s="8"/>
      <c r="J48" s="8"/>
      <c r="K48" s="8"/>
      <c r="N48" s="245" t="s">
        <v>897</v>
      </c>
      <c r="O48" s="246">
        <f>SUM(O45:O46)</f>
        <v>3.0793186285714277E-7</v>
      </c>
      <c r="P48" s="123" t="str">
        <f>$E$34</f>
        <v>t N2O</v>
      </c>
      <c r="Q48" s="8"/>
    </row>
    <row r="49" spans="1:17" ht="20.100000000000001" customHeight="1" x14ac:dyDescent="0.25">
      <c r="A49" s="5" t="str">
        <f>HYPERLINK("#'Constants - Electricity'!A1", "Constants - Electricity")</f>
        <v>Constants - Electricity</v>
      </c>
      <c r="D49" s="8"/>
      <c r="E49" s="8"/>
      <c r="F49" s="8"/>
      <c r="G49" s="8"/>
      <c r="N49" s="8"/>
      <c r="O49" s="8"/>
      <c r="P49" s="8"/>
      <c r="Q49" s="8"/>
    </row>
    <row r="50" spans="1:17" ht="20.100000000000001" customHeight="1" x14ac:dyDescent="0.25">
      <c r="A50" s="5" t="str">
        <f>HYPERLINK("#'Constants - Fertiliser'!A1", "Constants - Fertiliser")</f>
        <v>Constants - Fertiliser</v>
      </c>
      <c r="D50" s="124" t="str" cm="1">
        <f t="array" ref="D50:E51">Common_Equations.Common_ConvertN2OToCO2e_Arguments()</f>
        <v>EN2O</v>
      </c>
      <c r="E50" s="125" t="str">
        <v>Nitrous oxide emissions (t N2O)</v>
      </c>
      <c r="F50" s="126"/>
      <c r="G50" s="25">
        <f>E48</f>
        <v>3.0793186285714277E-7</v>
      </c>
      <c r="N50" s="124" t="str" cm="1">
        <f t="array" ref="N50:O51">Common_Equations.Common_ConvertN2OToCO2e_Arguments()</f>
        <v>EN2O</v>
      </c>
      <c r="O50" s="125" t="str">
        <v>Nitrous oxide emissions (t N2O)</v>
      </c>
      <c r="P50" s="126"/>
      <c r="Q50" s="25">
        <f>O48</f>
        <v>3.0793186285714277E-7</v>
      </c>
    </row>
    <row r="51" spans="1:17" ht="20.100000000000001" customHeight="1" x14ac:dyDescent="0.25">
      <c r="A51" s="5" t="str">
        <f>HYPERLINK("#'Constants - Fuel'!A1", "Constants - Fuel")</f>
        <v>Constants - Fuel</v>
      </c>
      <c r="D51" s="124" t="str">
        <v>GWPN2O</v>
      </c>
      <c r="E51" s="125" t="str">
        <v>Global warming potential for nitrous oxide (t CO2-e / t N2O)</v>
      </c>
      <c r="F51" s="126"/>
      <c r="G51" s="25">
        <f>Common_InputFunctions.Utility_LookupValueInTableNumber("N2O",Table_GWPData[Gas],Table_GWPData[CO2-e factor])</f>
        <v>265</v>
      </c>
      <c r="H51" s="8"/>
      <c r="I51" s="8"/>
      <c r="N51" s="124" t="str">
        <v>GWPN2O</v>
      </c>
      <c r="O51" s="125" t="str">
        <v>Global warming potential for nitrous oxide (t CO2-e / t N2O)</v>
      </c>
      <c r="P51" s="126"/>
      <c r="Q51" s="25">
        <f>Common_InputFunctions.Utility_LookupValueInTableNumber("N2O",Table_GWPData[Gas],Table_GWPData[CO2-e factor])</f>
        <v>265</v>
      </c>
    </row>
    <row r="52" spans="1:17" ht="20.100000000000001" customHeight="1" x14ac:dyDescent="0.25">
      <c r="A52" s="5" t="str">
        <f>HYPERLINK("#'Constants - Scope 3'!A1", "Constants - Scope 3")</f>
        <v>Constants - Scope 3</v>
      </c>
      <c r="H52" s="8"/>
      <c r="I52" s="8"/>
    </row>
    <row r="53" spans="1:17" ht="20.100000000000001" customHeight="1" x14ac:dyDescent="0.25">
      <c r="A53" s="5" t="str">
        <f>HYPERLINK("#'Constants - Common'!A1", "Constants - Common")</f>
        <v>Constants - Common</v>
      </c>
      <c r="D53" s="120" t="s">
        <v>298</v>
      </c>
      <c r="E53" s="120" cm="1">
        <f t="array" ref="E53">Common_Equations.Common_ConvertN2OToCO2e(G50,G51)</f>
        <v>8.1601943657142831E-5</v>
      </c>
      <c r="F53" s="127" t="str" cm="1">
        <f t="array" ref="F53">Common_Equations.Common_ConvertN2OToCO2e_Unit()</f>
        <v>t CO2e</v>
      </c>
      <c r="I53" s="8"/>
      <c r="N53" s="120" t="s">
        <v>298</v>
      </c>
      <c r="O53" s="120" cm="1">
        <f t="array" ref="O53">Common_Equations.Common_ConvertN2OToCO2e(Q50,Q51)</f>
        <v>8.1601943657142831E-5</v>
      </c>
      <c r="P53" s="127" t="str" cm="1">
        <f t="array" ref="P53">Common_Equations.Common_ConvertN2OToCO2e_Unit()</f>
        <v>t CO2e</v>
      </c>
    </row>
    <row r="54" spans="1:17" ht="20.100000000000001" customHeight="1" x14ac:dyDescent="0.25">
      <c r="A54" s="5" t="str">
        <f>HYPERLINK("#'Acknowledgements'!A1", "Acknowledgements")</f>
        <v>Acknowledgements</v>
      </c>
      <c r="I54" s="8"/>
    </row>
    <row r="55" spans="1:17" ht="20.100000000000001" customHeight="1" x14ac:dyDescent="0.25">
      <c r="A55" s="5" t="str">
        <f>HYPERLINK("#'Constants - Solid Waste'!A1", "Constants - Solid Waste")</f>
        <v>Constants - Solid Waste</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4350C-ADCF-48A7-8CDF-BDCAEAA7106C}">
  <dimension ref="A1:R342"/>
  <sheetViews>
    <sheetView showGridLines="0" topLeftCell="A42"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8"/>
      <c r="P5" s="178"/>
      <c r="Q5" s="178"/>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8"/>
      <c r="P6" s="178"/>
      <c r="Q6" s="178"/>
    </row>
    <row r="7" spans="1:18" ht="20.100000000000001" customHeight="1" x14ac:dyDescent="0.25">
      <c r="D7" s="107" t="s">
        <v>258</v>
      </c>
      <c r="E7" s="107" t="str" cm="1">
        <f t="array" aca="1" ref="E7" ca="1">Common_InputFunctions.Utility_DisplayFunctionName(N25)</f>
        <v>=Fuel_Equations.VEERG_8_1_1_1__1_FuelCombustionTransport</v>
      </c>
      <c r="K7" s="107" t="s">
        <v>258</v>
      </c>
      <c r="L7" s="107" t="str" cm="1">
        <f t="array" aca="1" ref="L7" ca="1">Common_InputFunctions.Utility_DisplayFunctionName(Q25)</f>
        <v>=Scope3_Equations.VEERG_15_11_1_1__2_UpstreamTransportFuelEmissions</v>
      </c>
      <c r="O7" s="178"/>
      <c r="P7" s="178"/>
      <c r="Q7" s="178"/>
    </row>
    <row r="8" spans="1:18" ht="20.100000000000001" customHeight="1" x14ac:dyDescent="0.25">
      <c r="A8" s="7" t="s">
        <v>0</v>
      </c>
      <c r="E8" s="107"/>
      <c r="L8" s="107"/>
      <c r="O8" s="178"/>
      <c r="P8" s="178"/>
      <c r="Q8" s="178"/>
    </row>
    <row r="9" spans="1:18" ht="20.100000000000001" customHeight="1" x14ac:dyDescent="0.25">
      <c r="A9" s="5" t="str">
        <f>HYPERLINK("#'Input - Enterprise'!A1", "Enterprise")</f>
        <v>Enterprise</v>
      </c>
      <c r="G9" s="27"/>
      <c r="O9" s="178"/>
      <c r="P9" s="178"/>
      <c r="Q9" s="178"/>
    </row>
    <row r="10" spans="1:18" ht="20.100000000000001" customHeight="1" x14ac:dyDescent="0.25">
      <c r="A10" s="5" t="str">
        <f>HYPERLINK("#'Input - Site'!A1", "Site")</f>
        <v>Site</v>
      </c>
      <c r="O10" s="178"/>
      <c r="P10" s="178"/>
      <c r="Q10" s="178"/>
    </row>
    <row r="11" spans="1:18" ht="20.100000000000001" customHeight="1" x14ac:dyDescent="0.25">
      <c r="A11" s="5" t="str">
        <f>HYPERLINK("#'Input - Pasture Beef'!A1", "Pasture Beef")</f>
        <v>Pasture Beef</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8"/>
      <c r="P11" s="178"/>
      <c r="Q11" s="178"/>
    </row>
    <row r="12" spans="1:18" ht="20.100000000000001" customHeight="1" x14ac:dyDescent="0.25">
      <c r="A12" s="5" t="str">
        <f>HYPERLINK("#'Input - Pasture Beef (Enteric)'!A1", "Pasture Beef (Enteric)")</f>
        <v>Pasture Beef (Enteric)</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Pasture'!A1", "Pasture")</f>
        <v>Pasture</v>
      </c>
    </row>
    <row r="14" spans="1:18" ht="20.100000000000001" customHeight="1" x14ac:dyDescent="0.25">
      <c r="A14" s="5" t="str">
        <f>HYPERLINK("#'Input - Fertiliser'!A1", "Fertiliser")</f>
        <v>Fertiliser</v>
      </c>
      <c r="D14" s="109" t="str" cm="1">
        <f t="array" ref="D14:E20">_xlfn.CHOOSECOLS(Fuel_Equations.VEERG_8_1_1_1__1_FuelCombustionTransport_Arguments(), 1,2)</f>
        <v>Q_Transtq</v>
      </c>
      <c r="E14" s="110" t="str">
        <v>Amount of fuel type q combusted for transport energy purposes</v>
      </c>
      <c r="F14" s="112"/>
      <c r="G14" s="109"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09" t="str" cm="1">
        <f t="array" ref="K14:L16">_xlfn.CHOOSECOLS(Scope3_Equations.VEERG_15_11_1_1__2_UpstreamTransportFuelEmissions_Arguments(),1,2)</f>
        <v>Q_Transq</v>
      </c>
      <c r="L14" s="109" t="str">
        <v>amount of fuel q combusted for transport energy purposes</v>
      </c>
      <c r="M14" s="109"/>
      <c r="N14" s="109"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78"/>
    </row>
    <row r="15" spans="1:18" ht="20.100000000000001" customHeight="1" x14ac:dyDescent="0.25">
      <c r="A15" s="5" t="str">
        <f>HYPERLINK("#'Input - Fuel'!A1", "Fuel")</f>
        <v>Fuel</v>
      </c>
      <c r="D15" s="109" t="str">
        <v>EC_Transq</v>
      </c>
      <c r="E15" s="110" t="str">
        <v>Energy content factor for transport energy purposes</v>
      </c>
      <c r="F15" s="112"/>
      <c r="G15" s="109" t="str">
        <v>GJ / unit of fuel</v>
      </c>
      <c r="H15" s="114" t="str">
        <v>Constant</v>
      </c>
      <c r="I15" s="115" t="str" cm="1">
        <f t="array" aca="1" ref="I15" ca="1">HYPERLINK(Common_InputFunctions.Utility_SourceHyperlink($D$22), $D$22)</f>
        <v>Table_E_g</v>
      </c>
      <c r="K15" s="109" t="str">
        <v>EC_Transq</v>
      </c>
      <c r="L15" s="109" t="str">
        <v>energy content factor for transport energy purposes</v>
      </c>
      <c r="M15" s="109"/>
      <c r="N15" s="109" t="str">
        <v>GJ/kL or GJ/m3</v>
      </c>
      <c r="O15" s="114" t="str">
        <v>Constant</v>
      </c>
      <c r="P15" s="115" t="str" cm="1">
        <f t="array" aca="1" ref="P15" ca="1">HYPERLINK(Common_InputFunctions.Utility_SourceHyperlink($D$22), $D$22)</f>
        <v>Table_E_g</v>
      </c>
      <c r="Q15" s="178"/>
    </row>
    <row r="16" spans="1:18" ht="20.100000000000001" customHeight="1" x14ac:dyDescent="0.25">
      <c r="A16" s="5" t="str">
        <f>HYPERLINK("#'Input - Electricity'!A1", "Electricity")</f>
        <v>Electricity</v>
      </c>
      <c r="D16" s="109" t="str">
        <v>EF_Trans1tqg</v>
      </c>
      <c r="E16" s="110" t="str">
        <v>Scope 1 emission factor for transport energy purposes for each greenhouse gas</v>
      </c>
      <c r="F16" s="112"/>
      <c r="G16" s="109" t="str">
        <v>kg CO2e / GJ</v>
      </c>
      <c r="H16" s="114" t="str">
        <v>Constant</v>
      </c>
      <c r="I16" s="115" t="str" cm="1">
        <f t="array" aca="1" ref="I16" ca="1">HYPERLINK(Common_InputFunctions.Utility_SourceHyperlink($D$22), $D$22)</f>
        <v>Table_E_g</v>
      </c>
      <c r="K16" s="109" t="str">
        <v>EF_Trans3q</v>
      </c>
      <c r="L16" s="109" t="str">
        <v>scope 3 emission factor for transport energy purposes</v>
      </c>
      <c r="M16" s="109"/>
      <c r="N16" s="109" t="str">
        <v>kg CO2e/GJ</v>
      </c>
      <c r="O16" s="114" t="str">
        <v>Constant</v>
      </c>
      <c r="P16" s="115" t="str" cm="1">
        <f t="array" aca="1" ref="P16" ca="1">HYPERLINK(Common_InputFunctions.Utility_SourceHyperlink($D$22), $D$22)</f>
        <v>Table_E_g</v>
      </c>
      <c r="Q16" s="178"/>
    </row>
    <row r="17" spans="1:17" ht="20.100000000000001" customHeight="1" x14ac:dyDescent="0.25">
      <c r="A17" s="5" t="str">
        <f>HYPERLINK("#'Input - Farm Inputs'!A1", "Farm Inputs")</f>
        <v>Farm Inputs</v>
      </c>
      <c r="D17" s="109" t="str">
        <v>q</v>
      </c>
      <c r="E17" s="110" t="str">
        <v>Fuel type</v>
      </c>
      <c r="F17" s="112"/>
      <c r="G17" s="109" t="str">
        <v/>
      </c>
      <c r="H17" s="114" t="str">
        <v>Constant</v>
      </c>
      <c r="I17" s="115"/>
      <c r="J17" s="178"/>
      <c r="P17" s="178"/>
      <c r="Q17" s="178"/>
    </row>
    <row r="18" spans="1:17" ht="20.100000000000001" customHeight="1" x14ac:dyDescent="0.25">
      <c r="A18" s="5" t="str">
        <f>HYPERLINK("#'Input - Freight'!A1", "Freight")</f>
        <v>Freight</v>
      </c>
      <c r="D18" s="109" t="str">
        <v>Trans</v>
      </c>
      <c r="E18" s="110" t="str">
        <v>Transport combustion</v>
      </c>
      <c r="F18" s="112"/>
      <c r="G18" s="109" t="str">
        <v/>
      </c>
      <c r="H18" s="114" t="str">
        <v>Constant</v>
      </c>
      <c r="I18" s="115"/>
      <c r="J18" s="178"/>
      <c r="L18" s="178"/>
      <c r="M18" s="178"/>
      <c r="N18" s="178"/>
      <c r="O18" s="178"/>
      <c r="P18" s="178"/>
      <c r="Q18" s="178"/>
    </row>
    <row r="19" spans="1:17" ht="20.100000000000001" customHeight="1" x14ac:dyDescent="0.25">
      <c r="A19" s="5" t="str">
        <f>HYPERLINK("#'Input - Manure sent off-site'!A1", "Manure sent off-site")</f>
        <v>Manure sent off-site</v>
      </c>
      <c r="D19" s="109" t="str">
        <v>g</v>
      </c>
      <c r="E19" s="110" t="str">
        <v>Greenhouse gas</v>
      </c>
      <c r="F19" s="112"/>
      <c r="G19" s="109" t="str">
        <v/>
      </c>
      <c r="H19" s="114" t="str">
        <v>Constant</v>
      </c>
      <c r="I19" s="115"/>
      <c r="J19" s="178"/>
      <c r="L19" s="178"/>
      <c r="M19" s="178"/>
      <c r="N19" s="178"/>
      <c r="O19" s="178"/>
      <c r="P19" s="178"/>
      <c r="Q19" s="178"/>
    </row>
    <row r="20" spans="1:17" ht="20.100000000000001" customHeight="1" x14ac:dyDescent="0.25">
      <c r="A20" s="5" t="str">
        <f>HYPERLINK("#'Input - Solid waste'!A1", "Solid waste")</f>
        <v>Solid waste</v>
      </c>
      <c r="D20" s="109" t="str">
        <v>1</v>
      </c>
      <c r="E20" s="110" t="str">
        <v>Scope 1</v>
      </c>
      <c r="F20" s="112"/>
      <c r="G20" s="109" t="str">
        <v/>
      </c>
      <c r="H20" s="114" t="str">
        <v>Constant</v>
      </c>
      <c r="I20" s="115"/>
      <c r="J20" s="178"/>
      <c r="L20" s="178"/>
      <c r="M20" s="178"/>
      <c r="N20" s="178"/>
      <c r="O20" s="178"/>
      <c r="P20" s="178"/>
      <c r="Q20" s="178"/>
    </row>
    <row r="21" spans="1:17" ht="20.100000000000001" customHeight="1" x14ac:dyDescent="0.25">
      <c r="O21" s="178"/>
      <c r="P21" s="178"/>
      <c r="Q21" s="178"/>
    </row>
    <row r="22" spans="1:17" ht="20.100000000000001" customHeight="1" x14ac:dyDescent="0.25">
      <c r="D22" s="116" t="s">
        <v>723</v>
      </c>
    </row>
    <row r="23" spans="1:17" ht="20.100000000000001" customHeight="1" x14ac:dyDescent="0.25">
      <c r="A23" s="6" t="s">
        <v>2</v>
      </c>
      <c r="D23" s="117" t="s">
        <v>724</v>
      </c>
    </row>
    <row r="24" spans="1:17" ht="20.100000000000001" customHeight="1" x14ac:dyDescent="0.25">
      <c r="A24" s="5" t="str">
        <f>HYPERLINK("#'3.2.1.1-2 Enteric Methane'!A1", "3.2.1.1-2 Enteric methane")</f>
        <v>3.2.1.1-2 Enteric methane</v>
      </c>
      <c r="D24" s="118" t="s">
        <v>725</v>
      </c>
      <c r="E24" s="118" t="s">
        <v>726</v>
      </c>
      <c r="F24" s="118" t="s">
        <v>727</v>
      </c>
      <c r="G24" s="118" t="s">
        <v>728</v>
      </c>
      <c r="H24" s="118" t="s">
        <v>729</v>
      </c>
      <c r="I24" s="118" t="s">
        <v>730</v>
      </c>
      <c r="J24" s="118" t="s">
        <v>731</v>
      </c>
      <c r="K24" s="118" t="s">
        <v>732</v>
      </c>
      <c r="L24" s="119" t="s">
        <v>733</v>
      </c>
      <c r="M24" s="118" t="s">
        <v>734</v>
      </c>
      <c r="N24" s="118" t="s">
        <v>735</v>
      </c>
      <c r="O24" s="118" t="s">
        <v>736</v>
      </c>
      <c r="P24" s="118" t="s">
        <v>737</v>
      </c>
      <c r="Q24" s="118" t="s">
        <v>738</v>
      </c>
    </row>
    <row r="25" spans="1:17" ht="20.100000000000001" customHeight="1" x14ac:dyDescent="0.25">
      <c r="A25" s="5" t="str">
        <f>HYPERLINK("#'4.2.1.1-2 Methane'!A1", "4.2.1.1-2 Manure methane")</f>
        <v>4.2.1.1-2 Manure methane</v>
      </c>
      <c r="D25" s="35" t="str">
        <f>Table_FuelTypesPerUse[[#Headers],[Cars and light commercial vehicles]]</f>
        <v>Cars and light commercial vehicles</v>
      </c>
      <c r="E25" s="202" t="str">
        <f>'Constants - Fuel'!$E$10</f>
        <v>Gasoline</v>
      </c>
      <c r="F25" s="202"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2" cm="1">
        <f t="array" ref="L25">Fuel_InputFunctions.Fuel_TotalConsumption(Table_Input_Fuel[Amount consumed], Table_Input_Fuel[Fuel use (select)], D25, Table_Input_Fuel[Fuel type (select)],F25)</f>
        <v>0</v>
      </c>
      <c r="M25" s="182" t="str" cm="1">
        <f t="array" ref="M25">Common_InputFunctions.Utility_LookupValueInTable(F25,Table_FuelTypes_Units[Fuel type],Table_FuelTypes_Units[Unit])</f>
        <v>kL</v>
      </c>
      <c r="N25" s="203" cm="1">
        <f t="array" ref="N25">Fuel_Equations.VEERG_8_1_1_1__1_FuelCombustionTransport($L25,$G25,$H25)</f>
        <v>0</v>
      </c>
      <c r="O25" s="203" cm="1">
        <f t="array" ref="O25">Fuel_Equations.VEERG_8_1_1_1__1_FuelCombustionTransport($L25,$G25,$I25)</f>
        <v>0</v>
      </c>
      <c r="P25" s="203" cm="1">
        <f t="array" ref="P25">Fuel_Equations.VEERG_8_1_1_1__1_FuelCombustionTransport($L25,$G25,$J25)</f>
        <v>0</v>
      </c>
      <c r="Q25" s="203" cm="1">
        <f t="array" ref="Q25">Scope3_Equations.VEERG_15_11_1_1__2_UpstreamTransportFuelEmissions(L25,G25,K25)</f>
        <v>0</v>
      </c>
    </row>
    <row r="26" spans="1:17" ht="20.100000000000001" customHeight="1" x14ac:dyDescent="0.25">
      <c r="A26" s="5" t="str">
        <f>HYPERLINK("#'4.2.1.3-4 Soil direct N20'!A1", "4.2.1.3-4 Soil direct N2O")</f>
        <v>4.2.1.3-4 Soil direct N2O</v>
      </c>
      <c r="D26" s="204" t="str">
        <f t="shared" ref="D26:D32" si="0">$D$25</f>
        <v>Cars and light commercial vehicles</v>
      </c>
      <c r="E26" s="202" t="str">
        <f>'Constants - Fuel'!$E$11</f>
        <v>Diesel oil</v>
      </c>
      <c r="F26" s="202"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2" cm="1">
        <f t="array" ref="L26">Fuel_InputFunctions.Fuel_TotalConsumption(Table_Input_Fuel[Amount consumed], Table_Input_Fuel[Fuel use (select)], D26, Table_Input_Fuel[Fuel type (select)],F26)</f>
        <v>10</v>
      </c>
      <c r="M26" s="182" t="str" cm="1">
        <f t="array" ref="M26">Common_InputFunctions.Utility_LookupValueInTable(F26,Table_FuelTypes_Units[Fuel type],Table_FuelTypes_Units[Unit])</f>
        <v>kL</v>
      </c>
      <c r="N26" s="203" cm="1">
        <f t="array" ref="N26">Fuel_Equations.VEERG_8_1_1_1__1_FuelCombustionTransport($L26,$G26,$H26)</f>
        <v>26.981400000000001</v>
      </c>
      <c r="O26" s="203" cm="1">
        <f t="array" ref="O26">Fuel_Equations.VEERG_8_1_1_1__1_FuelCombustionTransport($L26,$G26,$I26)</f>
        <v>3.8600000000000001E-3</v>
      </c>
      <c r="P26" s="203" cm="1">
        <f t="array" ref="P26">Fuel_Equations.VEERG_8_1_1_1__1_FuelCombustionTransport($L26,$G26,$J26)</f>
        <v>0.193</v>
      </c>
      <c r="Q26" s="203" cm="1">
        <f t="array" ref="Q26">Scope3_Equations.VEERG_15_11_1_1__2_UpstreamTransportFuelEmissions(L26,G26,K26)</f>
        <v>6.6778000000000004</v>
      </c>
    </row>
    <row r="27" spans="1:17" ht="20.100000000000001" customHeight="1" x14ac:dyDescent="0.25">
      <c r="A27" s="5" t="str">
        <f>HYPERLINK("#'4.2.1.5-6 Soil Atmos Dep'!A1", "4.2.1.5-6 Soil atm. deposition")</f>
        <v>4.2.1.5-6 Soil atm. deposition</v>
      </c>
      <c r="D27" s="204" t="str">
        <f t="shared" si="0"/>
        <v>Cars and light commercial vehicles</v>
      </c>
      <c r="E27" s="202" t="str">
        <f>'Constants - Fuel'!$E$12</f>
        <v>Liquefied petroleum gas (LPG)</v>
      </c>
      <c r="F27" s="202"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2" cm="1">
        <f t="array" ref="L27">Fuel_InputFunctions.Fuel_TotalConsumption(Table_Input_Fuel[Amount consumed], Table_Input_Fuel[Fuel use (select)], D27, Table_Input_Fuel[Fuel type (select)],F27)</f>
        <v>0</v>
      </c>
      <c r="M27" s="182" t="str" cm="1">
        <f t="array" ref="M27">Common_InputFunctions.Utility_LookupValueInTable(F27,Table_FuelTypes_Units[Fuel type],Table_FuelTypes_Units[Unit])</f>
        <v>kL</v>
      </c>
      <c r="N27" s="203" cm="1">
        <f t="array" ref="N27">Fuel_Equations.VEERG_8_1_1_1__1_FuelCombustionTransport($L27,$G27,$H27)</f>
        <v>0</v>
      </c>
      <c r="O27" s="203" cm="1">
        <f t="array" ref="O27">Fuel_Equations.VEERG_8_1_1_1__1_FuelCombustionTransport($L27,$G27,$I27)</f>
        <v>0</v>
      </c>
      <c r="P27" s="203" cm="1">
        <f t="array" ref="P27">Fuel_Equations.VEERG_8_1_1_1__1_FuelCombustionTransport($L27,$G27,$J27)</f>
        <v>0</v>
      </c>
      <c r="Q27" s="203" cm="1">
        <f t="array" ref="Q27">Scope3_Equations.VEERG_15_11_1_1__2_UpstreamTransportFuelEmissions(L27,G27,K27)</f>
        <v>0</v>
      </c>
    </row>
    <row r="28" spans="1:17" ht="20.100000000000001" customHeight="1" x14ac:dyDescent="0.25">
      <c r="A28" s="5" t="str">
        <f>HYPERLINK("#'4.2.1.7-8 Soil leach runoff'!A1", "4.2.1.7-8 Soil leach &amp; runoff")</f>
        <v>4.2.1.7-8 Soil leach &amp; runoff</v>
      </c>
      <c r="D28" s="204" t="str">
        <f t="shared" si="0"/>
        <v>Cars and light commercial vehicles</v>
      </c>
      <c r="E28" s="202" t="str">
        <f>'Constants - Fuel'!$E$13</f>
        <v>Fuel oil</v>
      </c>
      <c r="F28" s="202"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2" cm="1">
        <f t="array" ref="L28">Fuel_InputFunctions.Fuel_TotalConsumption(Table_Input_Fuel[Amount consumed], Table_Input_Fuel[Fuel use (select)], D28, Table_Input_Fuel[Fuel type (select)],F28)</f>
        <v>0</v>
      </c>
      <c r="M28" s="182" t="str" cm="1">
        <f t="array" ref="M28">Common_InputFunctions.Utility_LookupValueInTable(F28,Table_FuelTypes_Units[Fuel type],Table_FuelTypes_Units[Unit])</f>
        <v>kL</v>
      </c>
      <c r="N28" s="203" cm="1">
        <f t="array" ref="N28">Fuel_Equations.VEERG_8_1_1_1__1_FuelCombustionTransport($L28,$G28,$H28)</f>
        <v>0</v>
      </c>
      <c r="O28" s="203" cm="1">
        <f t="array" ref="O28">Fuel_Equations.VEERG_8_1_1_1__1_FuelCombustionTransport($L28,$G28,$I28)</f>
        <v>0</v>
      </c>
      <c r="P28" s="203" cm="1">
        <f t="array" ref="P28">Fuel_Equations.VEERG_8_1_1_1__1_FuelCombustionTransport($L28,$G28,$J28)</f>
        <v>0</v>
      </c>
      <c r="Q28" s="203" cm="1">
        <f t="array" ref="Q28">Scope3_Equations.VEERG_15_11_1_1__2_UpstreamTransportFuelEmissions(L28,G28,K28)</f>
        <v>0</v>
      </c>
    </row>
    <row r="29" spans="1:17" ht="20.100000000000001" customHeight="1" x14ac:dyDescent="0.25">
      <c r="A29" s="5" t="str">
        <f>HYPERLINK("#'5.1.1.1-2 Inorganic fert N2O'!A1", "5.1.1.1-2 Inorganic fert N2O")</f>
        <v>5.1.1.1-2 Inorganic fert N2O</v>
      </c>
      <c r="D29" s="204" t="str">
        <f t="shared" si="0"/>
        <v>Cars and light commercial vehicles</v>
      </c>
      <c r="E29" s="202" t="str">
        <f>'Constants - Fuel'!$E$14</f>
        <v>Ethanol</v>
      </c>
      <c r="F29" s="202"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2" cm="1">
        <f t="array" ref="L29">Fuel_InputFunctions.Fuel_TotalConsumption(Table_Input_Fuel[Amount consumed], Table_Input_Fuel[Fuel use (select)], D29, Table_Input_Fuel[Fuel type (select)],F29)</f>
        <v>0</v>
      </c>
      <c r="M29" s="182" t="str" cm="1">
        <f t="array" ref="M29">Common_InputFunctions.Utility_LookupValueInTable(F29,Table_FuelTypes_Units[Fuel type],Table_FuelTypes_Units[Unit])</f>
        <v>kL</v>
      </c>
      <c r="N29" s="203" cm="1">
        <f t="array" ref="N29">Fuel_Equations.VEERG_8_1_1_1__1_FuelCombustionTransport($L29,$G29,$H29)</f>
        <v>0</v>
      </c>
      <c r="O29" s="203" cm="1">
        <f t="array" ref="O29">Fuel_Equations.VEERG_8_1_1_1__1_FuelCombustionTransport($L29,$G29,$I29)</f>
        <v>0</v>
      </c>
      <c r="P29" s="203" cm="1">
        <f t="array" ref="P29">Fuel_Equations.VEERG_8_1_1_1__1_FuelCombustionTransport($L29,$G29,$J29)</f>
        <v>0</v>
      </c>
      <c r="Q29" s="203" cm="1">
        <f t="array" ref="Q29">Scope3_Equations.VEERG_15_11_1_1__2_UpstreamTransportFuelEmissions(L29,G29,IF(ISNUMBER(K29),K29,0))</f>
        <v>0</v>
      </c>
    </row>
    <row r="30" spans="1:17" ht="20.100000000000001" customHeight="1" x14ac:dyDescent="0.25">
      <c r="A30" s="5" t="str">
        <f>HYPERLINK("#'5.1.1.3-4 Inorganic fert CO2'!A1", "5.1.1.3-4 Inorganic fert CO2")</f>
        <v>5.1.1.3-4 Inorganic fert CO2</v>
      </c>
      <c r="D30" s="204" t="str">
        <f t="shared" si="0"/>
        <v>Cars and light commercial vehicles</v>
      </c>
      <c r="E30" s="202" t="str">
        <f>'Constants - Fuel'!$E$15</f>
        <v>Biodiesel</v>
      </c>
      <c r="F30" s="202"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2" cm="1">
        <f t="array" ref="L30">Fuel_InputFunctions.Fuel_TotalConsumption(Table_Input_Fuel[Amount consumed], Table_Input_Fuel[Fuel use (select)], D30, Table_Input_Fuel[Fuel type (select)],F30)</f>
        <v>0</v>
      </c>
      <c r="M30" s="182" t="str" cm="1">
        <f t="array" ref="M30">Common_InputFunctions.Utility_LookupValueInTable(F30,Table_FuelTypes_Units[Fuel type],Table_FuelTypes_Units[Unit])</f>
        <v>kL</v>
      </c>
      <c r="N30" s="203" cm="1">
        <f t="array" ref="N30">Fuel_Equations.VEERG_8_1_1_1__1_FuelCombustionTransport($L30,$G30,$H30)</f>
        <v>0</v>
      </c>
      <c r="O30" s="203" cm="1">
        <f t="array" ref="O30">Fuel_Equations.VEERG_8_1_1_1__1_FuelCombustionTransport($L30,$G30,$I30)</f>
        <v>0</v>
      </c>
      <c r="P30" s="203" cm="1">
        <f t="array" ref="P30">Fuel_Equations.VEERG_8_1_1_1__1_FuelCombustionTransport($L30,$G30,$J30)</f>
        <v>0</v>
      </c>
      <c r="Q30" s="203" cm="1">
        <f t="array" ref="Q30">Scope3_Equations.VEERG_15_11_1_1__2_UpstreamTransportFuelEmissions(L30,G30,IF(ISNUMBER(K30),K30,0))</f>
        <v>0</v>
      </c>
    </row>
    <row r="31" spans="1:17" ht="20.100000000000001" customHeight="1" x14ac:dyDescent="0.25">
      <c r="A31" s="5" t="str">
        <f>HYPERLINK("#'5.2.1.1-2 Organic Fert N2O'!A1", "5.2.1.1-2 Organic fert N2O")</f>
        <v>5.2.1.1-2 Organic fert N2O</v>
      </c>
      <c r="D31" s="204" t="str">
        <f t="shared" si="0"/>
        <v>Cars and light commercial vehicles</v>
      </c>
      <c r="E31" s="202" t="str">
        <f>'Constants - Fuel'!$E$16</f>
        <v>Renewable diesel</v>
      </c>
      <c r="F31" s="202"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3" cm="1">
        <f t="array" ref="N31">Fuel_Equations.VEERG_8_1_1_1__1_FuelCombustionTransport($L31,$G31,$H31)</f>
        <v>0</v>
      </c>
      <c r="O31" s="203" cm="1">
        <f t="array" ref="O31">Fuel_Equations.VEERG_8_1_1_1__1_FuelCombustionTransport($L31,$G31,$I31)</f>
        <v>0</v>
      </c>
      <c r="P31" s="203" cm="1">
        <f t="array" ref="P31">Fuel_Equations.VEERG_8_1_1_1__1_FuelCombustionTransport($L31,$G31,$J31)</f>
        <v>0</v>
      </c>
      <c r="Q31" s="203" cm="1">
        <f t="array" ref="Q31">Scope3_Equations.VEERG_15_11_1_1__2_UpstreamTransportFuelEmissions(L31,G31,IF(ISNUMBER(K31),K31,0))</f>
        <v>0</v>
      </c>
    </row>
    <row r="32" spans="1:17" ht="20.100000000000001" customHeight="1" x14ac:dyDescent="0.25">
      <c r="A32" s="5" t="str">
        <f>HYPERLINK("#'5.3.1.1-2 Lime CO2'!A1", "5.3.1.1-2 Lime CO2")</f>
        <v>5.3.1.1-2 Lime CO2</v>
      </c>
      <c r="D32" s="204" t="str">
        <f t="shared" si="0"/>
        <v>Cars and light commercial vehicles</v>
      </c>
      <c r="E32" s="202" t="str">
        <f>'Constants - Fuel'!$E$17</f>
        <v>Other biofuels</v>
      </c>
      <c r="F32" s="202"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00" t="str" cm="1">
        <f t="array" ref="K32">IFERROR(_xlfn.XLOOKUP(1, (Table_Fuel_EFs_Transport[Fuel combusted]=$E32)*(Table_Fuel_EFs_Transport[Transport type]=$D$25), Table_Fuel_EFs_Transport[Scope 3 Emission Factor (kg CO2 - e / GJ)]), 0)</f>
        <v>NE</v>
      </c>
      <c r="L32" s="205" cm="1">
        <f t="array" ref="L32">Fuel_InputFunctions.Fuel_TotalConsumption(Table_Input_Fuel[Amount consumed], Table_Input_Fuel[Fuel use (select)], D32, Table_Input_Fuel[Fuel type (select)],F32)</f>
        <v>0</v>
      </c>
      <c r="M32" s="182" t="str" cm="1">
        <f t="array" ref="M32">Common_InputFunctions.Utility_LookupValueInTable(F32,Table_FuelTypes_Units[Fuel type],Table_FuelTypes_Units[Unit])</f>
        <v>kL</v>
      </c>
      <c r="N32" s="206" cm="1">
        <f t="array" ref="N32">Fuel_Equations.VEERG_8_1_1_1__1_FuelCombustionTransport($L32,$G32,$H32)</f>
        <v>0</v>
      </c>
      <c r="O32" s="206" cm="1">
        <f t="array" ref="O32">Fuel_Equations.VEERG_8_1_1_1__1_FuelCombustionTransport($L32,$G32,$I32)</f>
        <v>0</v>
      </c>
      <c r="P32" s="206" cm="1">
        <f t="array" ref="P32">Fuel_Equations.VEERG_8_1_1_1__1_FuelCombustionTransport($L32,$G32,$J32)</f>
        <v>0</v>
      </c>
      <c r="Q32" s="203" cm="1">
        <f t="array" ref="Q32">Scope3_Equations.VEERG_15_11_1_1__2_UpstreamTransportFuelEmissions(L32,G32,IF(ISNUMBER(K32),K32,0))</f>
        <v>0</v>
      </c>
    </row>
    <row r="33" spans="1:17" ht="20.100000000000001" customHeight="1" x14ac:dyDescent="0.25">
      <c r="A33" s="5" t="str">
        <f>HYPERLINK("#'5.4.1.1-4 Atmos deposition'!A1", "5.4.1.1-4 Atmos. deposition")</f>
        <v>5.4.1.1-4 Atmos. deposition</v>
      </c>
      <c r="D33" s="207" t="str">
        <f>Table_FuelTypesPerUse[[#Headers],[Off-road Agriculture and forestry equipment]]</f>
        <v>Off-road Agriculture and forestry equipment</v>
      </c>
      <c r="E33" s="208" t="str">
        <f>'Constants - Fuel'!$E$11</f>
        <v>Diesel oil</v>
      </c>
      <c r="F33" s="208" t="str">
        <f>'Constants - Fuel'!H131</f>
        <v>Diesel</v>
      </c>
      <c r="G33" s="209" cm="1">
        <f t="array" ref="G33">IFERROR(_xlfn.XLOOKUP(1, (Table_Fuel_EFs_Transport[Fuel combusted]=$E33)*(Table_Fuel_EFs_Transport[Transport type]=$D$33), Table_Fuel_EFs_Transport[Energy Content Factor (GJ per unit of fuel)]), 0)</f>
        <v>38.6</v>
      </c>
      <c r="H33" s="209" cm="1">
        <f t="array" ref="H33">IFERROR(_xlfn.XLOOKUP(1, (Table_Fuel_EFs_Transport[Fuel combusted]=$E33)*(Table_Fuel_EFs_Transport[Transport type]=$D$33), Table_Fuel_EFs_Transport[Scope 1 Emission Factor (kg CO2 - e / GJ) CO2]), 0)</f>
        <v>69.900000000000006</v>
      </c>
      <c r="I33" s="209" cm="1">
        <f t="array" ref="I33">IFERROR(_xlfn.XLOOKUP(1, (Table_Fuel_EFs_Transport[Fuel combusted]=$E33)*(Table_Fuel_EFs_Transport[Transport type]=$D$33), Table_Fuel_EFs_Transport[Scope 1 Emission Factor (kg CO2 - e / GJ) CH4]), 0)</f>
        <v>0.3</v>
      </c>
      <c r="J33" s="209" cm="1">
        <f t="array" ref="J33">IFERROR(_xlfn.XLOOKUP(1, (Table_Fuel_EFs_Transport[Fuel combusted]=$E33)*(Table_Fuel_EFs_Transport[Transport type]=$D$33), Table_Fuel_EFs_Transport[Scope 1 Emission Factor (kg CO2 - e / GJ) N2O]), 0)</f>
        <v>0.5</v>
      </c>
      <c r="K33" s="210" cm="1">
        <f t="array" ref="K33">IFERROR(_xlfn.XLOOKUP(1, (Table_Fuel_EFs_Transport[Fuel combusted]=$E33)*(Table_Fuel_EFs_Transport[Transport type]=$D$25), Table_Fuel_EFs_Transport[Scope 3 Emission Factor (kg CO2 - e / GJ)]), 0)</f>
        <v>17.3</v>
      </c>
      <c r="L33" s="211" cm="1">
        <f t="array" ref="L33">Fuel_InputFunctions.Fuel_TotalConsumption(Table_Input_Fuel[Amount consumed], Table_Input_Fuel[Fuel use (select)], D33, Table_Input_Fuel[Fuel type (select)],F33)</f>
        <v>10</v>
      </c>
      <c r="M33" s="212" t="str" cm="1">
        <f t="array" ref="M33">Common_InputFunctions.Utility_LookupValueInTable(F33,Table_FuelTypes_Units[Fuel type],Table_FuelTypes_Units[Unit])</f>
        <v>kL</v>
      </c>
      <c r="N33" s="213" cm="1">
        <f t="array" ref="N33">Fuel_Equations.VEERG_8_1_1_1__1_FuelCombustionTransport($L33,$G33,$H33)</f>
        <v>26.981400000000001</v>
      </c>
      <c r="O33" s="213" cm="1">
        <f t="array" ref="O33">Fuel_Equations.VEERG_8_1_1_1__1_FuelCombustionTransport($L33,$G33,$I33)</f>
        <v>0.1158</v>
      </c>
      <c r="P33" s="213" cm="1">
        <f t="array" ref="P33">Fuel_Equations.VEERG_8_1_1_1__1_FuelCombustionTransport($L33,$G33,$J33)</f>
        <v>0.193</v>
      </c>
      <c r="Q33" s="214" cm="1">
        <f t="array" ref="Q33">Scope3_Equations.VEERG_15_11_1_1__2_UpstreamTransportFuelEmissions(L33,G33,K33)</f>
        <v>6.6778000000000004</v>
      </c>
    </row>
    <row r="34" spans="1:17" ht="20.100000000000001" customHeight="1" x14ac:dyDescent="0.25">
      <c r="A34" s="5" t="str">
        <f>HYPERLINK("#'5.5.1.1-2 Leaching and runoff'!A1", "5.5.1.1-2 Leaching &amp; runoff")</f>
        <v>5.5.1.1-2 Leaching &amp; runoff</v>
      </c>
      <c r="D34" s="207" t="str">
        <f>Table_FuelTypesPerUse[[#Headers],[Aviation]]</f>
        <v>Aviation</v>
      </c>
      <c r="E34" s="208" t="str">
        <f>'Constants - Fuel'!$E$28</f>
        <v>Gasoline for use as fuel in an aircraft</v>
      </c>
      <c r="F34" s="208" t="str">
        <f>'Constants - Fuel'!$F$131</f>
        <v>Avgas</v>
      </c>
      <c r="G34" s="215" cm="1">
        <f t="array" ref="G34">IFERROR(_xlfn.XLOOKUP(1, (Table_Fuel_EFs_Transport[Fuel combusted]=$E34)*(Table_Fuel_EFs_Transport[Transport type]=$D$34), Table_Fuel_EFs_Transport[Energy Content Factor (GJ per unit of fuel)]), 0)</f>
        <v>33.1</v>
      </c>
      <c r="H34" s="215" cm="1">
        <f t="array" ref="H34">IFERROR(_xlfn.XLOOKUP(1, (Table_Fuel_EFs_Transport[Fuel combusted]=$E34)*(Table_Fuel_EFs_Transport[Transport type]=$D$34), Table_Fuel_EFs_Transport[Scope 1 Emission Factor (kg CO2 - e / GJ) CO2]), 0)</f>
        <v>67</v>
      </c>
      <c r="I34" s="215" cm="1">
        <f t="array" ref="I34">IFERROR(_xlfn.XLOOKUP(1, (Table_Fuel_EFs_Transport[Fuel combusted]=$E34)*(Table_Fuel_EFs_Transport[Transport type]=$D$34), Table_Fuel_EFs_Transport[Scope 1 Emission Factor (kg CO2 - e / GJ) CH4]), 0)</f>
        <v>0.06</v>
      </c>
      <c r="J34" s="215" cm="1">
        <f t="array" ref="J34">IFERROR(_xlfn.XLOOKUP(1, (Table_Fuel_EFs_Transport[Fuel combusted]=$E34)*(Table_Fuel_EFs_Transport[Transport type]=$D$34), Table_Fuel_EFs_Transport[Scope 1 Emission Factor (kg CO2 - e / GJ) N2O]), 0)</f>
        <v>0.6</v>
      </c>
      <c r="K34" s="215" cm="1">
        <f t="array" ref="K34">IFERROR(_xlfn.XLOOKUP(1, (Table_Fuel_EFs_Transport[Fuel combusted]=$E34)*(Table_Fuel_EFs_Transport[Transport type]=$D$25), Table_Fuel_EFs_Transport[Scope 3 Emission Factor (kg CO2 - e / GJ)]), 0)</f>
        <v>0</v>
      </c>
      <c r="L34" s="212" cm="1">
        <f t="array" ref="L34">Fuel_InputFunctions.Fuel_TotalConsumption(Table_Input_Fuel[Amount consumed], Table_Input_Fuel[Fuel use (select)], D34, Table_Input_Fuel[Fuel type (select)],F34)</f>
        <v>0</v>
      </c>
      <c r="M34" s="212" t="str" cm="1">
        <f t="array" ref="M34">Common_InputFunctions.Utility_LookupValueInTable(F34,Table_FuelTypes_Units[Fuel type],Table_FuelTypes_Units[Unit])</f>
        <v>kL</v>
      </c>
      <c r="N34" s="213" cm="1">
        <f t="array" ref="N34">Fuel_Equations.VEERG_8_1_1_1__1_FuelCombustionTransport($L34,$G34,$H34)</f>
        <v>0</v>
      </c>
      <c r="O34" s="213" cm="1">
        <f t="array" ref="O34">Fuel_Equations.VEERG_8_1_1_1__1_FuelCombustionTransport($L34,$G34,$I34)</f>
        <v>0</v>
      </c>
      <c r="P34" s="213" cm="1">
        <f t="array" ref="P34">Fuel_Equations.VEERG_8_1_1_1__1_FuelCombustionTransport($L34,$G34,$J34)</f>
        <v>0</v>
      </c>
      <c r="Q34" s="213" cm="1">
        <f t="array" ref="Q34">Scope3_Equations.VEERG_15_11_1_1__2_UpstreamTransportFuelEmissions(L34,G34,K34)</f>
        <v>0</v>
      </c>
    </row>
    <row r="35" spans="1:17" ht="20.100000000000001" customHeight="1" x14ac:dyDescent="0.25">
      <c r="A35" s="5" t="str">
        <f>HYPERLINK("#'6.2.1.1-2 Pasture residue N2O'!A1", "6.2.1.1-2 Pasture residue N2O")</f>
        <v>6.2.1.1-2 Pasture residue N2O</v>
      </c>
      <c r="D35" s="204" t="str">
        <f>$D$34</f>
        <v>Aviation</v>
      </c>
      <c r="E35" s="202" t="str">
        <f>'Constants - Fuel'!$E$29</f>
        <v>Kerosene for use as fuel in an aircraft</v>
      </c>
      <c r="F35" s="202"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2" cm="1">
        <f t="array" ref="L35">Fuel_InputFunctions.Fuel_TotalConsumption(Table_Input_Fuel[Amount consumed], Table_Input_Fuel[Fuel use (select)], D35, Table_Input_Fuel[Fuel type (select)],F35)</f>
        <v>0</v>
      </c>
      <c r="M35" s="182" t="str" cm="1">
        <f t="array" ref="M35">Common_InputFunctions.Utility_LookupValueInTable(F35,Table_FuelTypes_Units[Fuel type],Table_FuelTypes_Units[Unit])</f>
        <v>kL</v>
      </c>
      <c r="N35" s="203" cm="1">
        <f t="array" ref="N35">Fuel_Equations.VEERG_8_1_1_1__1_FuelCombustionTransport($L35,$G35,$H35)</f>
        <v>0</v>
      </c>
      <c r="O35" s="203" cm="1">
        <f t="array" ref="O35">Fuel_Equations.VEERG_8_1_1_1__1_FuelCombustionTransport($L35,$G35,$I35)</f>
        <v>0</v>
      </c>
      <c r="P35" s="203" cm="1">
        <f t="array" ref="P35">Fuel_Equations.VEERG_8_1_1_1__1_FuelCombustionTransport($L35,$G35,$J35)</f>
        <v>0</v>
      </c>
      <c r="Q35" s="203" cm="1">
        <f t="array" ref="Q35">Scope3_Equations.VEERG_15_11_1_1__2_UpstreamTransportFuelEmissions(L35,G35,K35)</f>
        <v>0</v>
      </c>
    </row>
    <row r="36" spans="1:17" ht="20.100000000000001" customHeight="1" x14ac:dyDescent="0.25">
      <c r="A36" s="5" t="str">
        <f>HYPERLINK("#'6.3.1.1-2 Leach runoff pasture'!A1", "6.3.1.1-2 Leach &amp; runoff (pasture)")</f>
        <v>6.3.1.1-2 Leach &amp; runoff (pasture)</v>
      </c>
      <c r="D36" s="204" t="str">
        <f>$D$34</f>
        <v>Aviation</v>
      </c>
      <c r="E36" s="202" t="str">
        <f>'Constants - Fuel'!$E$30</f>
        <v>Renewable aviation kerosene</v>
      </c>
      <c r="F36" s="202" t="str">
        <f>'Constants - Fuel'!$F$133</f>
        <v>Renewable aviation kerosene</v>
      </c>
      <c r="G36" s="200" cm="1">
        <f t="array" ref="G36">IFERROR(_xlfn.XLOOKUP(1, (Table_Fuel_EFs_Transport[Fuel combusted]=$E36)*(Table_Fuel_EFs_Transport[Transport type]=$D$34), Table_Fuel_EFs_Transport[Energy Content Factor (GJ per unit of fuel)]), 0)</f>
        <v>36.799999999999997</v>
      </c>
      <c r="H36" s="200" cm="1">
        <f t="array" ref="H36">IFERROR(_xlfn.XLOOKUP(1, (Table_Fuel_EFs_Transport[Fuel combusted]=$E36)*(Table_Fuel_EFs_Transport[Transport type]=$D$34), Table_Fuel_EFs_Transport[Scope 1 Emission Factor (kg CO2 - e / GJ) CO2]), 0)</f>
        <v>0</v>
      </c>
      <c r="I36" s="200" cm="1">
        <f t="array" ref="I36">IFERROR(_xlfn.XLOOKUP(1, (Table_Fuel_EFs_Transport[Fuel combusted]=$E36)*(Table_Fuel_EFs_Transport[Transport type]=$D$34), Table_Fuel_EFs_Transport[Scope 1 Emission Factor (kg CO2 - e / GJ) CH4]), 0)</f>
        <v>0.01</v>
      </c>
      <c r="J36" s="200" cm="1">
        <f t="array" ref="J36">IFERROR(_xlfn.XLOOKUP(1, (Table_Fuel_EFs_Transport[Fuel combusted]=$E36)*(Table_Fuel_EFs_Transport[Transport type]=$D$34), Table_Fuel_EFs_Transport[Scope 1 Emission Factor (kg CO2 - e / GJ) N2O]), 0)</f>
        <v>0.6</v>
      </c>
      <c r="K36" s="200" cm="1">
        <f t="array" ref="K36">IFERROR(_xlfn.XLOOKUP(1, (Table_Fuel_EFs_Transport[Fuel combusted]=$E36)*(Table_Fuel_EFs_Transport[Transport type]=$D$25), Table_Fuel_EFs_Transport[Scope 3 Emission Factor (kg CO2 - e / GJ)]), 0)</f>
        <v>0</v>
      </c>
      <c r="L36" s="205" cm="1">
        <f t="array" ref="L36">Fuel_InputFunctions.Fuel_TotalConsumption(Table_Input_Fuel[Amount consumed], Table_Input_Fuel[Fuel use (select)], D36, Table_Input_Fuel[Fuel type (select)],F36)</f>
        <v>0</v>
      </c>
      <c r="M36" s="182" t="str" cm="1">
        <f t="array" ref="M36">Common_InputFunctions.Utility_LookupValueInTable(F36,Table_FuelTypes_Units[Fuel type],Table_FuelTypes_Units[Unit])</f>
        <v>kL</v>
      </c>
      <c r="N36" s="203" cm="1">
        <f t="array" ref="N36">Fuel_Equations.VEERG_8_1_1_1__1_FuelCombustionTransport($L36,$G36,$H36)</f>
        <v>0</v>
      </c>
      <c r="O36" s="203" cm="1">
        <f t="array" ref="O36">Fuel_Equations.VEERG_8_1_1_1__1_FuelCombustionTransport($L36,$G36,$I36)</f>
        <v>0</v>
      </c>
      <c r="P36" s="203" cm="1">
        <f t="array" ref="P36">Fuel_Equations.VEERG_8_1_1_1__1_FuelCombustionTransport($L36,$G36,$J36)</f>
        <v>0</v>
      </c>
      <c r="Q36" s="206" cm="1">
        <f t="array" ref="Q36">Scope3_Equations.VEERG_15_11_1_1__2_UpstreamTransportFuelEmissions(L36,G36,K36)</f>
        <v>0</v>
      </c>
    </row>
    <row r="37" spans="1:17" ht="20.100000000000001" customHeight="1" x14ac:dyDescent="0.25">
      <c r="A37" s="108" t="str">
        <f>HYPERLINK("#'8.1.1.1-2 Transport fuel'!A1", "8.1.1.1-2 Transport fuel")</f>
        <v>8.1.1.1-2 Transport fuel</v>
      </c>
      <c r="D37" s="207" t="str">
        <f>Table_FuelTypesPerUse[[#Headers],[Vessels]]</f>
        <v>Vessels</v>
      </c>
      <c r="E37" s="208" t="str">
        <f>'Constants - Fuel'!$E$10</f>
        <v>Gasoline</v>
      </c>
      <c r="F37" s="208" t="str">
        <f>'Constants - Fuel'!$I$131</f>
        <v>Petrol</v>
      </c>
      <c r="G37" s="215" cm="1">
        <f t="array" ref="G37">IFERROR(_xlfn.XLOOKUP(1, (Table_Fuel_EFs_Transport[Fuel combusted]=$E37)*(Table_Fuel_EFs_Transport[Transport type]=$D$37), Table_Fuel_EFs_Transport[Energy Content Factor (GJ per unit of fuel)]), 0)</f>
        <v>34.200000000000003</v>
      </c>
      <c r="H37" s="215" cm="1">
        <f t="array" ref="H37">IFERROR(_xlfn.XLOOKUP(1, (Table_Fuel_EFs_Transport[Fuel combusted]=$E37)*(Table_Fuel_EFs_Transport[Transport type]=$D$37), Table_Fuel_EFs_Transport[Scope 1 Emission Factor (kg CO2 - e / GJ) CO2]), 0)</f>
        <v>67.400000000000006</v>
      </c>
      <c r="I37" s="215" cm="1">
        <f t="array" ref="I37">IFERROR(_xlfn.XLOOKUP(1, (Table_Fuel_EFs_Transport[Fuel combusted]=$E37)*(Table_Fuel_EFs_Transport[Transport type]=$D$37), Table_Fuel_EFs_Transport[Scope 1 Emission Factor (kg CO2 - e / GJ) CH4]), 0)</f>
        <v>10.1</v>
      </c>
      <c r="J37" s="215" cm="1">
        <f t="array" ref="J37">IFERROR(_xlfn.XLOOKUP(1, (Table_Fuel_EFs_Transport[Fuel combusted]=$E37)*(Table_Fuel_EFs_Transport[Transport type]=$D$37), Table_Fuel_EFs_Transport[Scope 1 Emission Factor (kg CO2 - e / GJ) N2O]), 0)</f>
        <v>0.3</v>
      </c>
      <c r="K37" s="215" cm="1">
        <f t="array" ref="K37">IFERROR(_xlfn.XLOOKUP(1, (Table_Fuel_EFs_Transport[Fuel combusted]=$E37)*(Table_Fuel_EFs_Transport[Transport type]=$D$25), Table_Fuel_EFs_Transport[Scope 3 Emission Factor (kg CO2 - e / GJ)]), 0)</f>
        <v>17.2</v>
      </c>
      <c r="L37" s="212" cm="1">
        <f t="array" ref="L37">Fuel_InputFunctions.Fuel_TotalConsumption(Table_Input_Fuel[Amount consumed], Table_Input_Fuel[Fuel use (select)], D37, Table_Input_Fuel[Fuel type (select)],F37)</f>
        <v>0</v>
      </c>
      <c r="M37" s="216" t="str" cm="1">
        <f t="array" ref="M37">Common_InputFunctions.Utility_LookupValueInTable(F37,Table_FuelTypes_Units[Fuel type],Table_FuelTypes_Units[Unit])</f>
        <v>kL</v>
      </c>
      <c r="N37" s="213" cm="1">
        <f t="array" ref="N37">Fuel_Equations.VEERG_8_1_1_1__1_FuelCombustionTransport($L37,$G37,$H37)</f>
        <v>0</v>
      </c>
      <c r="O37" s="213" cm="1">
        <f t="array" ref="O37">Fuel_Equations.VEERG_8_1_1_1__1_FuelCombustionTransport($L37,$G37,$I37)</f>
        <v>0</v>
      </c>
      <c r="P37" s="213" cm="1">
        <f t="array" ref="P37">Fuel_Equations.VEERG_8_1_1_1__1_FuelCombustionTransport($L37,$G37,$J37)</f>
        <v>0</v>
      </c>
      <c r="Q37" s="213" cm="1">
        <f t="array" ref="Q37">Scope3_Equations.VEERG_15_11_1_1__2_UpstreamTransportFuelEmissions(L37,G37,K37)</f>
        <v>0</v>
      </c>
    </row>
    <row r="38" spans="1:17" ht="20.100000000000001" customHeight="1" x14ac:dyDescent="0.25">
      <c r="A38" s="5" t="str">
        <f>HYPERLINK("#'8.2.1.1-2 Stationary fuel'!A1", "8.2.1.1-2 Stationary fuel")</f>
        <v>8.2.1.1-2 Stationary fuel</v>
      </c>
      <c r="D38" s="204" t="str">
        <f>$D$37</f>
        <v>Vessels</v>
      </c>
      <c r="E38" s="202" t="str">
        <f>'Constants - Fuel'!$E$11</f>
        <v>Diesel oil</v>
      </c>
      <c r="F38" s="202"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2" cm="1">
        <f t="array" ref="L38">Fuel_InputFunctions.Fuel_TotalConsumption(Table_Input_Fuel[Amount consumed], Table_Input_Fuel[Fuel use (select)], D38, Table_Input_Fuel[Fuel type (select)],F38)</f>
        <v>0</v>
      </c>
      <c r="M38" s="182" t="str" cm="1">
        <f t="array" ref="M38">Common_InputFunctions.Utility_LookupValueInTable(F38,Table_FuelTypes_Units[Fuel type],Table_FuelTypes_Units[Unit])</f>
        <v>kL</v>
      </c>
      <c r="N38" s="203" cm="1">
        <f t="array" ref="N38">Fuel_Equations.VEERG_8_1_1_1__1_FuelCombustionTransport($L38,$G38,$H38)</f>
        <v>0</v>
      </c>
      <c r="O38" s="203" cm="1">
        <f t="array" ref="O38">Fuel_Equations.VEERG_8_1_1_1__1_FuelCombustionTransport($L38,$G38,$I38)</f>
        <v>0</v>
      </c>
      <c r="P38" s="203" cm="1">
        <f t="array" ref="P38">Fuel_Equations.VEERG_8_1_1_1__1_FuelCombustionTransport($L38,$G38,$J38)</f>
        <v>0</v>
      </c>
      <c r="Q38" s="203" cm="1">
        <f t="array" ref="Q38">Scope3_Equations.VEERG_15_11_1_1__2_UpstreamTransportFuelEmissions(L38,G38,K38)</f>
        <v>0</v>
      </c>
    </row>
    <row r="39" spans="1:17" ht="20.100000000000001" customHeight="1" x14ac:dyDescent="0.25">
      <c r="A39" s="5" t="str">
        <f>HYPERLINK("#'14.1.1-2 Purchased electricity'!A1", "14.1.1-2 Purchased electricity")</f>
        <v>14.1.1-2 Purchased electricity</v>
      </c>
      <c r="D39" s="204" t="str">
        <f>$D$37</f>
        <v>Vessels</v>
      </c>
      <c r="E39" s="202" t="str">
        <f>'Constants - Fuel'!E33</f>
        <v>Fuel Oil</v>
      </c>
      <c r="F39" s="202"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2" cm="1">
        <f t="array" ref="L39">Fuel_InputFunctions.Fuel_TotalConsumption(Table_Input_Fuel[Amount consumed], Table_Input_Fuel[Fuel use (select)], D39, Table_Input_Fuel[Fuel type (select)],F39)</f>
        <v>10</v>
      </c>
      <c r="M39" s="182" t="str" cm="1">
        <f t="array" ref="M39">Common_InputFunctions.Utility_LookupValueInTable(F39,Table_FuelTypes_Units[Fuel type],Table_FuelTypes_Units[Unit])</f>
        <v>kL</v>
      </c>
      <c r="N39" s="203" cm="1">
        <f t="array" ref="N39">Fuel_Equations.VEERG_8_1_1_1__1_FuelCombustionTransport($L39,$G39,$H39)</f>
        <v>29.219199999999997</v>
      </c>
      <c r="O39" s="203" cm="1">
        <f t="array" ref="O39">Fuel_Equations.VEERG_8_1_1_1__1_FuelCombustionTransport($L39,$G39,$I39)</f>
        <v>7.9400000000000012E-2</v>
      </c>
      <c r="P39" s="203" cm="1">
        <f t="array" ref="P39">Fuel_Equations.VEERG_8_1_1_1__1_FuelCombustionTransport($L39,$G39,$J39)</f>
        <v>0.19850000000000001</v>
      </c>
      <c r="Q39" s="203" cm="1">
        <f t="array" ref="Q39">Scope3_Equations.VEERG_15_11_1_1__2_UpstreamTransportFuelEmissions(L39,G39,K39)</f>
        <v>7.1459999999999999</v>
      </c>
    </row>
    <row r="40" spans="1:17" ht="20.100000000000001" customHeight="1" x14ac:dyDescent="0.25">
      <c r="A40" s="5" t="str">
        <f>HYPERLINK("#'15 Scope 3'!A1", "15 Scope 3")</f>
        <v>15 Scope 3</v>
      </c>
      <c r="H40" s="178"/>
      <c r="I40" s="178"/>
      <c r="J40" s="178"/>
      <c r="L40" s="178"/>
      <c r="M40" s="178"/>
      <c r="N40" s="178"/>
      <c r="O40" s="178"/>
      <c r="P40" s="178"/>
      <c r="Q40" s="178"/>
    </row>
    <row r="41" spans="1:17" ht="20.100000000000001" customHeight="1" x14ac:dyDescent="0.25">
      <c r="A41" s="5" t="str">
        <f>HYPERLINK("#'Calcs - Manure sent off-site'!A1", "Calcs - Manure sent off-site")</f>
        <v>Calcs - Manure sent off-site</v>
      </c>
      <c r="H41" s="178"/>
      <c r="I41" s="178"/>
      <c r="J41" s="178"/>
      <c r="L41" s="178"/>
      <c r="M41" s="178"/>
      <c r="N41" s="178"/>
      <c r="O41" s="178"/>
      <c r="P41" s="178"/>
      <c r="Q41" s="178"/>
    </row>
    <row r="42" spans="1:17" ht="20.100000000000001" customHeight="1" x14ac:dyDescent="0.25">
      <c r="A42" s="5" t="str">
        <f>HYPERLINK("#'10.1.1-2 Solid waste treatment'!A1", "10.1.1-2 Solid waste treatment")</f>
        <v>10.1.1-2 Solid waste treatment</v>
      </c>
      <c r="D42" s="217" t="str">
        <f>"Total scope 1 - " &amp; D25</f>
        <v>Total scope 1 - Cars and light commercial vehicles</v>
      </c>
      <c r="E42" s="218"/>
      <c r="F42" s="219"/>
    </row>
    <row r="43" spans="1:17" ht="20.100000000000001" customHeight="1" x14ac:dyDescent="0.25">
      <c r="D43" s="35" t="s">
        <v>739</v>
      </c>
      <c r="E43" s="220">
        <f>SUM(N25:N32)</f>
        <v>26.981400000000001</v>
      </c>
      <c r="F43" s="26" t="str">
        <f>$E$12</f>
        <v>t CO2-e</v>
      </c>
    </row>
    <row r="44" spans="1:17" ht="20.100000000000001" customHeight="1" x14ac:dyDescent="0.25">
      <c r="D44" s="35" t="s">
        <v>740</v>
      </c>
      <c r="E44" s="220">
        <f>SUM(O25:O32)</f>
        <v>3.8600000000000001E-3</v>
      </c>
      <c r="F44" s="26" t="str">
        <f t="shared" ref="F44:F46" si="1">$E$12</f>
        <v>t CO2-e</v>
      </c>
    </row>
    <row r="45" spans="1:17" ht="20.100000000000001" customHeight="1" x14ac:dyDescent="0.25">
      <c r="A45" s="94" t="s">
        <v>1</v>
      </c>
      <c r="D45" s="35" t="s">
        <v>741</v>
      </c>
      <c r="E45" s="220">
        <f>SUM(P25:P32)</f>
        <v>0.193</v>
      </c>
      <c r="F45" s="26" t="str">
        <f t="shared" si="1"/>
        <v>t CO2-e</v>
      </c>
    </row>
    <row r="46" spans="1:17" ht="20.100000000000001" customHeight="1" x14ac:dyDescent="0.25">
      <c r="A46" s="5" t="str">
        <f>HYPERLINK("#'Constants - Pasture Beef'!A1", "Constants - Pasture Beef")</f>
        <v>Constants - Pasture Beef</v>
      </c>
      <c r="D46" s="35" t="s">
        <v>742</v>
      </c>
      <c r="E46" s="220">
        <f>SUM(Q25:Q32)</f>
        <v>6.6778000000000004</v>
      </c>
      <c r="F46" s="26" t="str">
        <f t="shared" si="1"/>
        <v>t CO2-e</v>
      </c>
    </row>
    <row r="47" spans="1:17" ht="20.100000000000001" customHeight="1" x14ac:dyDescent="0.25">
      <c r="A47" s="5" t="str">
        <f>HYPERLINK("#'Constants - Ag Residue'!A1", "Constants - Ag residue")</f>
        <v>Constants - Ag residue</v>
      </c>
      <c r="D47" s="178"/>
      <c r="E47" s="178"/>
      <c r="F47" s="178"/>
    </row>
    <row r="48" spans="1:17" ht="20.100000000000001" customHeight="1" x14ac:dyDescent="0.25">
      <c r="A48" s="5" t="str">
        <f>HYPERLINK("#'Constants - Common Livestock'!A1", "Constants - Common Livestock")</f>
        <v>Constants - Common Livestock</v>
      </c>
      <c r="D48" s="217" t="str">
        <f>"Total scope 1 - " &amp; D33</f>
        <v>Total scope 1 - Off-road Agriculture and forestry equipment</v>
      </c>
      <c r="E48" s="221"/>
      <c r="F48" s="219"/>
      <c r="H48" s="178"/>
      <c r="I48" s="178"/>
      <c r="J48" s="178"/>
      <c r="L48" s="178"/>
      <c r="M48" s="178"/>
      <c r="N48" s="178"/>
      <c r="O48" s="178"/>
      <c r="P48" s="178"/>
      <c r="Q48" s="178"/>
    </row>
    <row r="49" spans="1:17" ht="20.100000000000001" customHeight="1" x14ac:dyDescent="0.25">
      <c r="A49" s="5" t="str">
        <f>HYPERLINK("#'Constants - Electricity'!A1", "Constants - Electricity")</f>
        <v>Constants - Electricity</v>
      </c>
      <c r="D49" s="35" t="s">
        <v>739</v>
      </c>
      <c r="E49" s="220">
        <f>SUM(N33:N33)</f>
        <v>26.981400000000001</v>
      </c>
      <c r="F49" s="26" t="str">
        <f t="shared" ref="F49:F52" si="2">$E$12</f>
        <v>t CO2-e</v>
      </c>
      <c r="H49" s="178"/>
      <c r="I49" s="178"/>
      <c r="J49" s="178"/>
      <c r="L49" s="178"/>
      <c r="M49" s="178"/>
      <c r="N49" s="178"/>
      <c r="O49" s="178"/>
      <c r="P49" s="178"/>
      <c r="Q49" s="178"/>
    </row>
    <row r="50" spans="1:17" ht="20.100000000000001" customHeight="1" x14ac:dyDescent="0.25">
      <c r="A50" s="5" t="str">
        <f>HYPERLINK("#'Constants - Fertiliser'!A1", "Constants - Fertiliser")</f>
        <v>Constants - Fertiliser</v>
      </c>
      <c r="D50" s="35" t="s">
        <v>740</v>
      </c>
      <c r="E50" s="220">
        <f>SUM(O33:O33)</f>
        <v>0.1158</v>
      </c>
      <c r="F50" s="26" t="str">
        <f t="shared" si="2"/>
        <v>t CO2-e</v>
      </c>
      <c r="H50" s="178"/>
      <c r="I50" s="178"/>
      <c r="J50" s="178"/>
      <c r="L50" s="178"/>
      <c r="M50" s="178"/>
      <c r="N50" s="178"/>
      <c r="O50" s="178"/>
      <c r="P50" s="178"/>
      <c r="Q50" s="178"/>
    </row>
    <row r="51" spans="1:17" ht="20.100000000000001" customHeight="1" x14ac:dyDescent="0.25">
      <c r="A51" s="5" t="str">
        <f>HYPERLINK("#'Constants - Fuel'!A1", "Constants - Fuel")</f>
        <v>Constants - Fuel</v>
      </c>
      <c r="D51" s="35" t="s">
        <v>741</v>
      </c>
      <c r="E51" s="220">
        <f>SUM(P33:P33)</f>
        <v>0.193</v>
      </c>
      <c r="F51" s="26" t="str">
        <f t="shared" si="2"/>
        <v>t CO2-e</v>
      </c>
      <c r="H51" s="178"/>
      <c r="I51" s="178"/>
      <c r="J51" s="178"/>
      <c r="L51" s="178"/>
      <c r="M51" s="178"/>
      <c r="N51" s="178"/>
      <c r="O51" s="178"/>
      <c r="P51" s="178"/>
      <c r="Q51" s="178"/>
    </row>
    <row r="52" spans="1:17" ht="20.100000000000001" customHeight="1" x14ac:dyDescent="0.25">
      <c r="A52" s="5" t="str">
        <f>HYPERLINK("#'Constants - Scope 3'!A1", "Constants - Scope 3")</f>
        <v>Constants - Scope 3</v>
      </c>
      <c r="D52" s="35" t="s">
        <v>742</v>
      </c>
      <c r="E52" s="220">
        <f>SUM(Q33)</f>
        <v>6.6778000000000004</v>
      </c>
      <c r="F52" s="26" t="str">
        <f t="shared" si="2"/>
        <v>t CO2-e</v>
      </c>
      <c r="H52" s="178"/>
      <c r="I52" s="178"/>
      <c r="J52" s="178"/>
      <c r="L52" s="178"/>
      <c r="M52" s="178"/>
      <c r="N52" s="178"/>
      <c r="O52" s="178"/>
      <c r="P52" s="178"/>
      <c r="Q52" s="178"/>
    </row>
    <row r="53" spans="1:17" ht="20.100000000000001" customHeight="1" x14ac:dyDescent="0.25">
      <c r="A53" s="5" t="str">
        <f>HYPERLINK("#'Constants - Common'!A1", "Constants - Common")</f>
        <v>Constants - Common</v>
      </c>
      <c r="D53" s="178"/>
      <c r="E53" s="222"/>
      <c r="F53" s="178"/>
      <c r="G53" s="178"/>
      <c r="H53" s="178"/>
      <c r="I53" s="178"/>
      <c r="J53" s="178"/>
      <c r="L53" s="178"/>
      <c r="M53" s="178"/>
      <c r="N53" s="178"/>
      <c r="O53" s="178"/>
      <c r="P53" s="178"/>
      <c r="Q53" s="178"/>
    </row>
    <row r="54" spans="1:17" ht="20.100000000000001" customHeight="1" x14ac:dyDescent="0.25">
      <c r="A54" s="5" t="str">
        <f>HYPERLINK("#'Acknowledgements'!A1", "Acknowledgements")</f>
        <v>Acknowledgements</v>
      </c>
      <c r="D54" s="217" t="str">
        <f>"Total scope 1 - " &amp; D34</f>
        <v>Total scope 1 - Aviation</v>
      </c>
      <c r="E54" s="221"/>
      <c r="F54" s="219"/>
      <c r="G54" s="178"/>
      <c r="H54" s="178"/>
      <c r="I54" s="178"/>
      <c r="J54" s="178"/>
      <c r="L54" s="178"/>
      <c r="M54" s="178"/>
      <c r="N54" s="178"/>
      <c r="O54" s="178"/>
      <c r="P54" s="178"/>
      <c r="Q54" s="178"/>
    </row>
    <row r="55" spans="1:17" ht="20.100000000000001" customHeight="1" x14ac:dyDescent="0.25">
      <c r="A55" s="5" t="str">
        <f>HYPERLINK("#'Constants - Solid Waste'!A1", "Constants - Solid Waste")</f>
        <v>Constants - Solid Waste</v>
      </c>
      <c r="D55" s="35" t="s">
        <v>739</v>
      </c>
      <c r="E55" s="220">
        <f>SUM(N34:N36)</f>
        <v>0</v>
      </c>
      <c r="F55" s="26" t="str">
        <f t="shared" ref="F55:F58" si="3">$E$12</f>
        <v>t CO2-e</v>
      </c>
      <c r="G55" s="178"/>
      <c r="H55" s="178"/>
      <c r="I55" s="178"/>
      <c r="J55" s="178"/>
      <c r="L55" s="178"/>
      <c r="M55" s="178"/>
      <c r="N55" s="178"/>
      <c r="O55" s="178"/>
      <c r="P55" s="178"/>
      <c r="Q55" s="178"/>
    </row>
    <row r="56" spans="1:17" ht="20.100000000000001" customHeight="1" x14ac:dyDescent="0.25">
      <c r="D56" s="35" t="s">
        <v>740</v>
      </c>
      <c r="E56" s="220">
        <f>SUM(O34:O36)</f>
        <v>0</v>
      </c>
      <c r="F56" s="26" t="str">
        <f t="shared" si="3"/>
        <v>t CO2-e</v>
      </c>
      <c r="G56" s="178"/>
      <c r="H56" s="178"/>
      <c r="I56" s="178"/>
      <c r="J56" s="178"/>
      <c r="L56" s="178"/>
      <c r="M56" s="178"/>
      <c r="N56" s="178"/>
      <c r="O56" s="178"/>
      <c r="P56" s="178"/>
      <c r="Q56" s="178"/>
    </row>
    <row r="57" spans="1:17" ht="20.100000000000001" customHeight="1" x14ac:dyDescent="0.25">
      <c r="D57" s="35" t="s">
        <v>741</v>
      </c>
      <c r="E57" s="220">
        <f>SUM(P34:P36)</f>
        <v>0</v>
      </c>
      <c r="F57" s="26" t="str">
        <f t="shared" si="3"/>
        <v>t CO2-e</v>
      </c>
      <c r="G57" s="178"/>
      <c r="H57" s="178"/>
      <c r="I57" s="178"/>
      <c r="J57" s="178"/>
      <c r="L57" s="178"/>
      <c r="M57" s="178"/>
      <c r="N57" s="178"/>
      <c r="O57" s="178"/>
      <c r="P57" s="178"/>
      <c r="Q57" s="178"/>
    </row>
    <row r="58" spans="1:17" ht="20.100000000000001" customHeight="1" x14ac:dyDescent="0.25">
      <c r="D58" s="35" t="s">
        <v>742</v>
      </c>
      <c r="E58" s="220">
        <f>SUM(Q34:Q36)</f>
        <v>0</v>
      </c>
      <c r="F58" s="26" t="str">
        <f t="shared" si="3"/>
        <v>t CO2-e</v>
      </c>
      <c r="G58" s="178"/>
      <c r="H58" s="178"/>
      <c r="I58" s="178"/>
      <c r="J58" s="178"/>
      <c r="L58" s="178"/>
      <c r="M58" s="178"/>
      <c r="N58" s="178"/>
      <c r="O58" s="178"/>
      <c r="P58" s="178"/>
      <c r="Q58" s="178"/>
    </row>
    <row r="59" spans="1:17" ht="20.100000000000001" customHeight="1" x14ac:dyDescent="0.25">
      <c r="D59" s="178"/>
      <c r="E59" s="222"/>
      <c r="F59" s="178"/>
      <c r="G59" s="178"/>
      <c r="H59" s="178"/>
      <c r="I59" s="178"/>
      <c r="J59" s="178"/>
      <c r="L59" s="178"/>
      <c r="M59" s="178"/>
      <c r="N59" s="178"/>
      <c r="O59" s="178"/>
      <c r="P59" s="178"/>
      <c r="Q59" s="178"/>
    </row>
    <row r="60" spans="1:17" ht="20.100000000000001" customHeight="1" x14ac:dyDescent="0.25">
      <c r="D60" s="217" t="str">
        <f>"Total scope 1 - " &amp; D37</f>
        <v>Total scope 1 - Vessels</v>
      </c>
      <c r="E60" s="221"/>
      <c r="F60" s="219"/>
      <c r="G60" s="178"/>
      <c r="H60" s="178"/>
      <c r="I60" s="178"/>
      <c r="J60" s="178"/>
      <c r="L60" s="178"/>
      <c r="M60" s="178"/>
      <c r="N60" s="178"/>
      <c r="O60" s="178"/>
      <c r="P60" s="178"/>
      <c r="Q60" s="178"/>
    </row>
    <row r="61" spans="1:17" ht="20.100000000000001" customHeight="1" x14ac:dyDescent="0.25">
      <c r="D61" s="35" t="s">
        <v>739</v>
      </c>
      <c r="E61" s="220">
        <f>SUM(N37:N39)</f>
        <v>29.219199999999997</v>
      </c>
      <c r="F61" s="26" t="str">
        <f t="shared" ref="F61:F64" si="4">$E$12</f>
        <v>t CO2-e</v>
      </c>
      <c r="G61" s="178"/>
      <c r="H61" s="178"/>
      <c r="I61" s="178"/>
      <c r="J61" s="178"/>
      <c r="L61" s="178"/>
      <c r="M61" s="178"/>
      <c r="N61" s="178"/>
      <c r="O61" s="178"/>
      <c r="P61" s="178"/>
      <c r="Q61" s="178"/>
    </row>
    <row r="62" spans="1:17" ht="20.100000000000001" customHeight="1" x14ac:dyDescent="0.25">
      <c r="D62" s="35" t="s">
        <v>740</v>
      </c>
      <c r="E62" s="220">
        <f>SUM(O37:O39)</f>
        <v>7.9400000000000012E-2</v>
      </c>
      <c r="F62" s="26" t="str">
        <f t="shared" si="4"/>
        <v>t CO2-e</v>
      </c>
      <c r="G62" s="178"/>
      <c r="H62" s="178"/>
      <c r="I62" s="178"/>
      <c r="J62" s="178"/>
      <c r="L62" s="178"/>
      <c r="M62" s="178"/>
      <c r="N62" s="178"/>
      <c r="O62" s="178"/>
      <c r="P62" s="178"/>
      <c r="Q62" s="178"/>
    </row>
    <row r="63" spans="1:17" ht="20.100000000000001" customHeight="1" x14ac:dyDescent="0.25">
      <c r="D63" s="35" t="s">
        <v>741</v>
      </c>
      <c r="E63" s="220">
        <f>SUM(P37:P39)</f>
        <v>0.19850000000000001</v>
      </c>
      <c r="F63" s="26" t="str">
        <f t="shared" si="4"/>
        <v>t CO2-e</v>
      </c>
      <c r="G63" s="178"/>
      <c r="H63" s="178"/>
      <c r="I63" s="178"/>
      <c r="J63" s="178"/>
      <c r="L63" s="178"/>
      <c r="M63" s="178"/>
      <c r="N63" s="178"/>
      <c r="O63" s="178"/>
      <c r="P63" s="178"/>
      <c r="Q63" s="178"/>
    </row>
    <row r="64" spans="1:17" ht="20.100000000000001" customHeight="1" x14ac:dyDescent="0.25">
      <c r="D64" s="35" t="s">
        <v>742</v>
      </c>
      <c r="E64" s="220">
        <f>SUM(Q37:Q39)</f>
        <v>7.1459999999999999</v>
      </c>
      <c r="F64" s="26" t="str">
        <f t="shared" si="4"/>
        <v>t CO2-e</v>
      </c>
      <c r="G64" s="178"/>
      <c r="H64" s="178"/>
      <c r="I64" s="178"/>
      <c r="J64" s="178"/>
      <c r="L64" s="178"/>
      <c r="M64" s="178"/>
      <c r="N64" s="178"/>
      <c r="O64" s="178"/>
      <c r="P64" s="178"/>
      <c r="Q64" s="178"/>
    </row>
    <row r="65" spans="4:17" ht="20.100000000000001" customHeight="1" x14ac:dyDescent="0.25">
      <c r="G65" s="178"/>
      <c r="H65" s="178"/>
      <c r="I65" s="178"/>
      <c r="J65" s="178"/>
      <c r="L65" s="178"/>
      <c r="M65" s="178"/>
      <c r="N65" s="178"/>
      <c r="O65" s="178"/>
      <c r="P65" s="178"/>
      <c r="Q65" s="178"/>
    </row>
    <row r="66" spans="4:17" ht="20.100000000000001" customHeight="1" x14ac:dyDescent="0.25">
      <c r="D66" s="217" t="s">
        <v>743</v>
      </c>
      <c r="E66" s="223"/>
      <c r="F66" s="219"/>
      <c r="G66" s="178"/>
      <c r="H66" s="178"/>
      <c r="I66" s="178"/>
      <c r="J66" s="178"/>
      <c r="L66" s="178"/>
      <c r="M66" s="178"/>
      <c r="N66" s="178"/>
      <c r="O66" s="178"/>
      <c r="P66" s="178"/>
      <c r="Q66" s="178"/>
    </row>
    <row r="67" spans="4:17" ht="20.100000000000001" customHeight="1" x14ac:dyDescent="0.25">
      <c r="D67" s="35" t="s">
        <v>739</v>
      </c>
      <c r="E67" s="220">
        <f>E43+E49+E55+E61</f>
        <v>83.182000000000002</v>
      </c>
      <c r="F67" s="26" t="str">
        <f t="shared" ref="F67:F70" si="5">$E$12</f>
        <v>t CO2-e</v>
      </c>
      <c r="G67" s="178"/>
    </row>
    <row r="68" spans="4:17" ht="20.100000000000001" customHeight="1" x14ac:dyDescent="0.25">
      <c r="D68" s="35" t="s">
        <v>740</v>
      </c>
      <c r="E68" s="220">
        <f t="shared" ref="E68:E70" si="6">E44+E50+E56+E62</f>
        <v>0.19906000000000001</v>
      </c>
      <c r="F68" s="26" t="str">
        <f t="shared" si="5"/>
        <v>t CO2-e</v>
      </c>
      <c r="G68" s="178"/>
    </row>
    <row r="69" spans="4:17" ht="20.100000000000001" customHeight="1" x14ac:dyDescent="0.25">
      <c r="D69" s="35" t="s">
        <v>741</v>
      </c>
      <c r="E69" s="220">
        <f t="shared" si="6"/>
        <v>0.58450000000000002</v>
      </c>
      <c r="F69" s="26" t="str">
        <f t="shared" si="5"/>
        <v>t CO2-e</v>
      </c>
      <c r="G69" s="178"/>
    </row>
    <row r="70" spans="4:17" ht="20.100000000000001" customHeight="1" x14ac:dyDescent="0.25">
      <c r="D70" s="35" t="s">
        <v>742</v>
      </c>
      <c r="E70" s="220">
        <f t="shared" si="6"/>
        <v>20.5016</v>
      </c>
      <c r="F70" s="26" t="str">
        <f t="shared" si="5"/>
        <v>t CO2-e</v>
      </c>
      <c r="G70" s="178"/>
    </row>
    <row r="71" spans="4:17" ht="20.100000000000001" customHeight="1" x14ac:dyDescent="0.25">
      <c r="G71" s="17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EE3BECA8-B1BE-4954-920A-C2BDA20B9A75}"/>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49484-A50B-4EF3-9837-D80B1F758EAE}">
  <dimension ref="A1:R165"/>
  <sheetViews>
    <sheetView showGridLines="0" topLeftCell="A33"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8"/>
      <c r="P5" s="178"/>
      <c r="Q5" s="178"/>
      <c r="R5" s="178"/>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8"/>
      <c r="P6" s="178"/>
      <c r="Q6" s="178"/>
      <c r="R6" s="178"/>
    </row>
    <row r="7" spans="1:18" ht="20.100000000000001" customHeight="1" x14ac:dyDescent="0.25">
      <c r="D7" s="107" t="s">
        <v>258</v>
      </c>
      <c r="E7" s="107"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8"/>
      <c r="P7" s="178"/>
      <c r="Q7" s="178"/>
      <c r="R7" s="178"/>
    </row>
    <row r="8" spans="1:18" ht="20.100000000000001" customHeight="1" x14ac:dyDescent="0.25">
      <c r="A8" s="7" t="s">
        <v>0</v>
      </c>
      <c r="K8" s="107" t="s">
        <v>258</v>
      </c>
      <c r="L8" s="107" t="str" cm="1">
        <f t="array" aca="1" ref="L8" ca="1">Common_InputFunctions.Utility_DisplayFunctionName(Q25)</f>
        <v>=Fuel_Equations.VEERG_8_2_1_1__1_FuelCombustionStationary</v>
      </c>
      <c r="O8" s="178"/>
      <c r="P8" s="178"/>
      <c r="Q8" s="178"/>
      <c r="R8" s="178"/>
    </row>
    <row r="9" spans="1:18" ht="20.100000000000001" customHeight="1" x14ac:dyDescent="0.25">
      <c r="A9" s="5" t="str">
        <f>HYPERLINK("#'Input - Enterprise'!A1", "Enterprise")</f>
        <v>Enterprise</v>
      </c>
      <c r="G9" s="27"/>
      <c r="O9" s="178"/>
      <c r="P9" s="178"/>
      <c r="Q9" s="178"/>
      <c r="R9" s="178"/>
    </row>
    <row r="10" spans="1:18" ht="20.100000000000001" customHeight="1" x14ac:dyDescent="0.25">
      <c r="A10" s="5" t="str">
        <f>HYPERLINK("#'Input - Site'!A1", "Site")</f>
        <v>Site</v>
      </c>
      <c r="O10" s="178"/>
      <c r="P10" s="178"/>
      <c r="Q10" s="178"/>
      <c r="R10" s="178"/>
    </row>
    <row r="11" spans="1:18" ht="20.100000000000001" customHeight="1" x14ac:dyDescent="0.25">
      <c r="A11" s="5" t="str">
        <f>HYPERLINK("#'Input - Pasture Beef'!A1", "Pasture Beef")</f>
        <v>Pasture Beef</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8"/>
      <c r="P11" s="178"/>
      <c r="Q11" s="178"/>
      <c r="R11" s="178"/>
    </row>
    <row r="12" spans="1:18" ht="20.100000000000001" customHeight="1" x14ac:dyDescent="0.25">
      <c r="A12" s="5" t="str">
        <f>HYPERLINK("#'Input - Pasture Beef (Enteric)'!A1", "Pasture Beef (Enteric)")</f>
        <v>Pasture Beef (Enteric)</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Pasture'!A1", "Pasture")</f>
        <v>Pasture</v>
      </c>
    </row>
    <row r="14" spans="1:18" ht="20.100000000000001" customHeight="1" x14ac:dyDescent="0.25">
      <c r="A14" s="5" t="str">
        <f>HYPERLINK("#'Input - Fertiliser'!A1", "Fertiliser")</f>
        <v>Fertiliser</v>
      </c>
      <c r="D14" s="109" t="str" cm="1">
        <f t="array" ref="D14:E20">_xlfn.CHOOSECOLS(Fuel_Equations.VEERG_8_2_1_1__1_FuelCombustionStationary_Arguments(), 1,2)</f>
        <v>Q_SCq</v>
      </c>
      <c r="E14" s="110" t="str">
        <v>Amount of fuel type q used for stationary combustion operations</v>
      </c>
      <c r="F14" s="112"/>
      <c r="G14" s="109"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09" t="str" cm="1">
        <f t="array" ref="K14:L18">_xlfn.CHOOSECOLS(Scope3_Equations.VEERG_15_11_1_1__3_UpstreamStationaryFuelEmissions_Arguments(),1,2)</f>
        <v>Q_SCq</v>
      </c>
      <c r="L14" s="109" t="str">
        <v>amount of fuel q used for stationary combustion operations</v>
      </c>
      <c r="M14" s="109"/>
      <c r="N14" s="109"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78"/>
    </row>
    <row r="15" spans="1:18" ht="20.100000000000001" customHeight="1" x14ac:dyDescent="0.25">
      <c r="A15" s="5" t="str">
        <f>HYPERLINK("#'Input - Fuel'!A1", "Fuel")</f>
        <v>Fuel</v>
      </c>
      <c r="D15" s="109" t="str">
        <v>EC_SCq</v>
      </c>
      <c r="E15" s="110" t="str">
        <v>Energy content factor for stationary combustion operations</v>
      </c>
      <c r="F15" s="112"/>
      <c r="G15" s="109" t="str">
        <v>GJ / unit of fuel</v>
      </c>
      <c r="H15" s="114" t="str">
        <v>Constant</v>
      </c>
      <c r="I15" s="115" t="str" cm="1">
        <f t="array" aca="1" ref="I15" ca="1">HYPERLINK(Common_InputFunctions.Utility_SourceHyperlink($D$22), $D$22)</f>
        <v>Table_E_g</v>
      </c>
      <c r="K15" s="109" t="str">
        <v>EC_SCq</v>
      </c>
      <c r="L15" s="109" t="str">
        <v>energy content factor for stationary combustion operations</v>
      </c>
      <c r="M15" s="109"/>
      <c r="N15" s="109" t="str">
        <v>GJ/kL</v>
      </c>
      <c r="O15" s="114" t="str">
        <v>Constant</v>
      </c>
      <c r="P15" s="115" t="str" cm="1">
        <f t="array" aca="1" ref="P15" ca="1">HYPERLINK(Common_InputFunctions.Utility_SourceHyperlink($D$22), $D$22)</f>
        <v>Table_E_g</v>
      </c>
      <c r="Q15" s="178"/>
    </row>
    <row r="16" spans="1:18" ht="20.100000000000001" customHeight="1" x14ac:dyDescent="0.25">
      <c r="A16" s="5" t="str">
        <f>HYPERLINK("#'Input - Electricity'!A1", "Electricity")</f>
        <v>Electricity</v>
      </c>
      <c r="D16" s="109" t="str">
        <v>EF_SC1qg</v>
      </c>
      <c r="E16" s="110" t="str">
        <v>Scope 1 emission factor for stationary combustion for each greenhouse gas</v>
      </c>
      <c r="F16" s="112"/>
      <c r="G16" s="109" t="str">
        <v>kg CO2e / GJ</v>
      </c>
      <c r="H16" s="114" t="str">
        <v>Constant</v>
      </c>
      <c r="I16" s="115" t="str" cm="1">
        <f t="array" aca="1" ref="I16" ca="1">HYPERLINK(Common_InputFunctions.Utility_SourceHyperlink($D$22), $D$22)</f>
        <v>Table_E_g</v>
      </c>
      <c r="K16" s="109" t="str">
        <v>EF_SC3q</v>
      </c>
      <c r="L16" s="109" t="str">
        <v>scope 3 emission factor for stationary combustion operations</v>
      </c>
      <c r="M16" s="109"/>
      <c r="N16" s="109" t="str">
        <v>kg CO2e/GJ</v>
      </c>
      <c r="O16" s="114" t="str">
        <v>Constant</v>
      </c>
      <c r="P16" s="115" t="str" cm="1">
        <f t="array" aca="1" ref="P16" ca="1">HYPERLINK(Common_InputFunctions.Utility_SourceHyperlink($D$22), $D$22)</f>
        <v>Table_E_g</v>
      </c>
      <c r="Q16" s="178"/>
    </row>
    <row r="17" spans="1:17" ht="20.100000000000001" customHeight="1" x14ac:dyDescent="0.25">
      <c r="A17" s="5" t="str">
        <f>HYPERLINK("#'Input - Farm Inputs'!A1", "Farm Inputs")</f>
        <v>Farm Inputs</v>
      </c>
      <c r="D17" s="109" t="str">
        <v>q</v>
      </c>
      <c r="E17" s="110" t="str">
        <v>Fuel type</v>
      </c>
      <c r="F17" s="112"/>
      <c r="G17" s="109" t="str">
        <v/>
      </c>
      <c r="H17" s="114" t="str">
        <v>Constant</v>
      </c>
      <c r="I17" s="115"/>
      <c r="J17" s="178"/>
      <c r="K17" s="109" t="str">
        <v>i</v>
      </c>
      <c r="L17" s="110" t="str">
        <v>state</v>
      </c>
      <c r="M17" s="112"/>
      <c r="N17" s="109" t="str">
        <v/>
      </c>
      <c r="O17" s="113" t="str">
        <v>Input</v>
      </c>
      <c r="P17" s="109" t="str">
        <f>X_Cell_Site_State</f>
        <v>Western Australia</v>
      </c>
      <c r="Q17" s="178"/>
    </row>
    <row r="18" spans="1:17" ht="20.100000000000001" customHeight="1" x14ac:dyDescent="0.25">
      <c r="A18" s="5" t="str">
        <f>HYPERLINK("#'Input - Freight'!A1", "Freight")</f>
        <v>Freight</v>
      </c>
      <c r="D18" s="109" t="str">
        <v>SC</v>
      </c>
      <c r="E18" s="110" t="str">
        <v>Stationary combustion</v>
      </c>
      <c r="F18" s="112"/>
      <c r="G18" s="109" t="str">
        <v/>
      </c>
      <c r="H18" s="114" t="str">
        <v>Constant</v>
      </c>
      <c r="I18" s="115"/>
      <c r="J18" s="178"/>
      <c r="K18" s="109" t="str">
        <v>m</v>
      </c>
      <c r="L18" s="110" t="str">
        <v>metropolitan/non-metropolitan location</v>
      </c>
      <c r="M18" s="112"/>
      <c r="N18" s="109" t="str">
        <v/>
      </c>
      <c r="O18" s="113" t="str">
        <v>Input</v>
      </c>
      <c r="P18" s="109" t="str">
        <f>X_Cell_Fuel_IsMetroLocation</f>
        <v>Metro</v>
      </c>
      <c r="Q18" s="178"/>
    </row>
    <row r="19" spans="1:17" ht="20.100000000000001" customHeight="1" x14ac:dyDescent="0.25">
      <c r="A19" s="5" t="str">
        <f>HYPERLINK("#'Input - Manure sent off-site'!A1", "Manure sent off-site")</f>
        <v>Manure sent off-site</v>
      </c>
      <c r="D19" s="109" t="str">
        <v>g</v>
      </c>
      <c r="E19" s="110" t="str">
        <v>Greenhouse gas</v>
      </c>
      <c r="F19" s="112"/>
      <c r="G19" s="109" t="str">
        <v/>
      </c>
      <c r="H19" s="114" t="str">
        <v>Constant</v>
      </c>
      <c r="I19" s="115"/>
      <c r="J19" s="178"/>
      <c r="L19" s="178"/>
      <c r="N19" s="178"/>
      <c r="O19" s="178"/>
      <c r="P19" s="178"/>
      <c r="Q19" s="178"/>
    </row>
    <row r="20" spans="1:17" ht="20.100000000000001" customHeight="1" x14ac:dyDescent="0.25">
      <c r="A20" s="5" t="str">
        <f>HYPERLINK("#'Input - Solid waste'!A1", "Solid waste")</f>
        <v>Solid waste</v>
      </c>
      <c r="D20" s="109" t="str">
        <v>1</v>
      </c>
      <c r="E20" s="110" t="str">
        <v>Scope 1</v>
      </c>
      <c r="F20" s="112"/>
      <c r="G20" s="109" t="str">
        <v/>
      </c>
      <c r="H20" s="114" t="str">
        <v>Constant</v>
      </c>
      <c r="I20" s="115"/>
      <c r="J20" s="178"/>
      <c r="L20" s="178"/>
      <c r="N20" s="178"/>
      <c r="O20" s="178"/>
      <c r="P20" s="178"/>
      <c r="Q20" s="178"/>
    </row>
    <row r="21" spans="1:17" ht="20.100000000000001" customHeight="1" x14ac:dyDescent="0.25">
      <c r="O21" s="178"/>
      <c r="P21" s="178"/>
      <c r="Q21" s="178"/>
    </row>
    <row r="22" spans="1:17" ht="20.100000000000001" customHeight="1" x14ac:dyDescent="0.25">
      <c r="D22" s="116" t="s">
        <v>723</v>
      </c>
    </row>
    <row r="23" spans="1:17" ht="20.100000000000001" customHeight="1" x14ac:dyDescent="0.25">
      <c r="A23" s="6" t="s">
        <v>2</v>
      </c>
      <c r="D23" s="117" t="s">
        <v>745</v>
      </c>
    </row>
    <row r="24" spans="1:17" ht="20.100000000000001" customHeight="1" x14ac:dyDescent="0.25">
      <c r="A24" s="5" t="str">
        <f>HYPERLINK("#'3.2.1.1-2 Enteric Methane'!A1", "3.2.1.1-2 Enteric methane")</f>
        <v>3.2.1.1-2 Enteric methane</v>
      </c>
      <c r="D24" s="118" t="s">
        <v>725</v>
      </c>
      <c r="E24" s="118" t="s">
        <v>726</v>
      </c>
      <c r="F24" s="118" t="s">
        <v>727</v>
      </c>
      <c r="G24" s="118" t="s">
        <v>746</v>
      </c>
      <c r="H24" s="118" t="s">
        <v>747</v>
      </c>
      <c r="I24" s="118" t="s">
        <v>748</v>
      </c>
      <c r="J24" s="118" t="s">
        <v>749</v>
      </c>
      <c r="K24" s="118" t="s">
        <v>750</v>
      </c>
      <c r="L24" s="119" t="s">
        <v>751</v>
      </c>
      <c r="M24" s="118" t="s">
        <v>734</v>
      </c>
      <c r="N24" s="118" t="s">
        <v>735</v>
      </c>
      <c r="O24" s="118" t="s">
        <v>736</v>
      </c>
      <c r="P24" s="118" t="s">
        <v>737</v>
      </c>
      <c r="Q24" s="118" t="s">
        <v>752</v>
      </c>
    </row>
    <row r="25" spans="1:17" ht="20.100000000000001" customHeight="1" x14ac:dyDescent="0.25">
      <c r="A25" s="5" t="str">
        <f>HYPERLINK("#'4.2.1.1-2 Methane'!A1", "4.2.1.1-2 Manure methane")</f>
        <v>4.2.1.1-2 Manure methane</v>
      </c>
      <c r="D25" s="35" t="str">
        <f>Table_FuelTypesPerUse[[#Headers],[Generators]]</f>
        <v>Generators</v>
      </c>
      <c r="E25" s="202" t="str">
        <f>'Constants - Fuel'!$D$58</f>
        <v>Automotive gasoline / petrol (other than for use as fuel in an aircraft)</v>
      </c>
      <c r="F25" s="202"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2" cm="1">
        <f t="array" ref="L25">Fuel_InputFunctions.Fuel_TotalConsumption(Table_Input_Fuel[Amount consumed], Table_Input_Fuel[Fuel use (select)], D25, Table_Input_Fuel[Fuel type (select)],F25)</f>
        <v>0</v>
      </c>
      <c r="M25" s="182" t="str" cm="1">
        <f t="array" ref="M25">Common_InputFunctions.Utility_LookupValueInTable(F25,Table_FuelTypes_Units[Fuel type],Table_FuelTypes_Units[Unit])</f>
        <v>kL</v>
      </c>
      <c r="N25" s="224" cm="1">
        <f t="array" ref="N25">Fuel_Equations.VEERG_8_2_1_1__1_FuelCombustionStationary($L25,$G25,H25)</f>
        <v>0</v>
      </c>
      <c r="O25" s="224" cm="1">
        <f t="array" ref="O25">Fuel_Equations.VEERG_8_2_1_1__1_FuelCombustionStationary($L25,$G25,I25)</f>
        <v>0</v>
      </c>
      <c r="P25" s="224" cm="1">
        <f t="array" ref="P25">Fuel_Equations.VEERG_8_2_1_1__1_FuelCombustionStationary($L25,$G25,J25)</f>
        <v>0</v>
      </c>
      <c r="Q25" s="224" cm="1">
        <f t="array" ref="Q25">Fuel_Equations.VEERG_8_2_1_1__1_FuelCombustionStationary($L25,$G25,IF(ISNUMBER(K25), K25, 0))</f>
        <v>0</v>
      </c>
    </row>
    <row r="26" spans="1:17" ht="20.100000000000001" customHeight="1" x14ac:dyDescent="0.25">
      <c r="A26" s="5" t="str">
        <f>HYPERLINK("#'4.2.1.3-4 Soil direct N20'!A1", "4.2.1.3-4 Soil direct N2O")</f>
        <v>4.2.1.3-4 Soil direct N2O</v>
      </c>
      <c r="D26" s="204" t="str">
        <f t="shared" ref="D26:D31" si="0">$D$25</f>
        <v>Generators</v>
      </c>
      <c r="E26" s="202" t="str">
        <f>'Constants - Fuel'!$D$63</f>
        <v>Diesel oil</v>
      </c>
      <c r="F26" s="202"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2" cm="1">
        <f t="array" ref="L26">Fuel_InputFunctions.Fuel_TotalConsumption(Table_Input_Fuel[Amount consumed], Table_Input_Fuel[Fuel use (select)], D26, Table_Input_Fuel[Fuel type (select)],F26)</f>
        <v>0</v>
      </c>
      <c r="M26" s="182" t="str" cm="1">
        <f t="array" ref="M26">Common_InputFunctions.Utility_LookupValueInTable(F26,Table_FuelTypes_Units[Fuel type],Table_FuelTypes_Units[Unit])</f>
        <v>kL</v>
      </c>
      <c r="N26" s="224" cm="1">
        <f t="array" ref="N26">Fuel_Equations.VEERG_8_2_1_1__1_FuelCombustionStationary($L26,$G26,H26)</f>
        <v>0</v>
      </c>
      <c r="O26" s="224" cm="1">
        <f t="array" ref="O26">Fuel_Equations.VEERG_8_2_1_1__1_FuelCombustionStationary($L26,$G26,I26)</f>
        <v>0</v>
      </c>
      <c r="P26" s="224" cm="1">
        <f t="array" ref="P26">Fuel_Equations.VEERG_8_2_1_1__1_FuelCombustionStationary($L26,$G26,J26)</f>
        <v>0</v>
      </c>
      <c r="Q26" s="224" cm="1">
        <f t="array" ref="Q26">Fuel_Equations.VEERG_8_2_1_1__1_FuelCombustionStationary($L26,$G26,IF(ISNUMBER(K26), K26, 0))</f>
        <v>0</v>
      </c>
    </row>
    <row r="27" spans="1:17" ht="20.100000000000001" customHeight="1" x14ac:dyDescent="0.25">
      <c r="A27" s="5" t="str">
        <f>HYPERLINK("#'4.2.1.5-6 Soil Atmos Dep'!A1", "4.2.1.5-6 Soil atm. deposition")</f>
        <v>4.2.1.5-6 Soil atm. deposition</v>
      </c>
      <c r="D27" s="204" t="str">
        <f t="shared" si="0"/>
        <v>Generators</v>
      </c>
      <c r="E27" s="202" t="str">
        <f>'Constants - Fuel'!$D$67</f>
        <v>Liquefied petroleum gas (LPG)</v>
      </c>
      <c r="F27" s="202"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2" cm="1">
        <f t="array" ref="L27">Fuel_InputFunctions.Fuel_TotalConsumption(Table_Input_Fuel[Amount consumed], Table_Input_Fuel[Fuel use (select)], D27, Table_Input_Fuel[Fuel type (select)],F27)</f>
        <v>0</v>
      </c>
      <c r="M27" s="182" t="str" cm="1">
        <f t="array" ref="M27">Common_InputFunctions.Utility_LookupValueInTable(F27,Table_FuelTypes_Units[Fuel type],Table_FuelTypes_Units[Unit])</f>
        <v>kL</v>
      </c>
      <c r="N27" s="224" cm="1">
        <f t="array" ref="N27">Fuel_Equations.VEERG_8_2_1_1__1_FuelCombustionStationary($L27,$G27,H27)</f>
        <v>0</v>
      </c>
      <c r="O27" s="224" cm="1">
        <f t="array" ref="O27">Fuel_Equations.VEERG_8_2_1_1__1_FuelCombustionStationary($L27,$G27,I27)</f>
        <v>0</v>
      </c>
      <c r="P27" s="224" cm="1">
        <f t="array" ref="P27">Fuel_Equations.VEERG_8_2_1_1__1_FuelCombustionStationary($L27,$G27,J27)</f>
        <v>0</v>
      </c>
      <c r="Q27" s="224" cm="1">
        <f t="array" ref="Q27">Fuel_Equations.VEERG_8_2_1_1__1_FuelCombustionStationary($L27,$G27,IF(ISNUMBER(K27), K27, 0))</f>
        <v>0</v>
      </c>
    </row>
    <row r="28" spans="1:17" ht="20.100000000000001" customHeight="1" x14ac:dyDescent="0.25">
      <c r="A28" s="5" t="str">
        <f>HYPERLINK("#'4.2.1.7-8 Soil leach runoff'!A1", "4.2.1.7-8 Soil leach &amp; runoff")</f>
        <v>4.2.1.7-8 Soil leach &amp; runoff</v>
      </c>
      <c r="D28" s="204" t="str">
        <f t="shared" si="0"/>
        <v>Generators</v>
      </c>
      <c r="E28" s="202" t="str">
        <f>'Constants - Fuel'!$D$73</f>
        <v>Biodiesel</v>
      </c>
      <c r="F28" s="202"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2" cm="1">
        <f t="array" ref="L28">Fuel_InputFunctions.Fuel_TotalConsumption(Table_Input_Fuel[Amount consumed], Table_Input_Fuel[Fuel use (select)], D28, Table_Input_Fuel[Fuel type (select)],F28)</f>
        <v>0</v>
      </c>
      <c r="M28" s="182" t="str" cm="1">
        <f t="array" ref="M28">Common_InputFunctions.Utility_LookupValueInTable(F28,Table_FuelTypes_Units[Fuel type],Table_FuelTypes_Units[Unit])</f>
        <v>kL</v>
      </c>
      <c r="N28" s="224" cm="1">
        <f t="array" ref="N28">Fuel_Equations.VEERG_8_2_1_1__1_FuelCombustionStationary($L28,$G28,H28)</f>
        <v>0</v>
      </c>
      <c r="O28" s="224" cm="1">
        <f t="array" ref="O28">Fuel_Equations.VEERG_8_2_1_1__1_FuelCombustionStationary($L28,$G28,I28)</f>
        <v>0</v>
      </c>
      <c r="P28" s="224" cm="1">
        <f t="array" ref="P28">Fuel_Equations.VEERG_8_2_1_1__1_FuelCombustionStationary($L28,$G28,J28)</f>
        <v>0</v>
      </c>
      <c r="Q28" s="224" cm="1">
        <f t="array" ref="Q28">Fuel_Equations.VEERG_8_2_1_1__1_FuelCombustionStationary($L28,$G28,IF(ISNUMBER(K28), K28, 0))</f>
        <v>0</v>
      </c>
    </row>
    <row r="29" spans="1:17" ht="20.100000000000001" customHeight="1" x14ac:dyDescent="0.25">
      <c r="A29" s="5" t="str">
        <f>HYPERLINK("#'5.1.1.1-2 Inorganic fert N2O'!A1", "5.1.1.1-2 Inorganic fert N2O")</f>
        <v>5.1.1.1-2 Inorganic fert N2O</v>
      </c>
      <c r="D29" s="204" t="str">
        <f t="shared" si="0"/>
        <v>Generators</v>
      </c>
      <c r="E29" s="202" t="str">
        <f>'Constants - Fuel'!$D$74</f>
        <v>Ethanol for use as a fuel in an internal combustion engine</v>
      </c>
      <c r="F29" s="202"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2" cm="1">
        <f t="array" ref="L29">Fuel_InputFunctions.Fuel_TotalConsumption(Table_Input_Fuel[Amount consumed], Table_Input_Fuel[Fuel use (select)], D29, Table_Input_Fuel[Fuel type (select)],F29)</f>
        <v>0</v>
      </c>
      <c r="M29" s="182" t="str" cm="1">
        <f t="array" ref="M29">Common_InputFunctions.Utility_LookupValueInTable(F29,Table_FuelTypes_Units[Fuel type],Table_FuelTypes_Units[Unit])</f>
        <v>kL</v>
      </c>
      <c r="N29" s="224" cm="1">
        <f t="array" ref="N29">Fuel_Equations.VEERG_8_2_1_1__1_FuelCombustionStationary($L29,$G29,H29)</f>
        <v>0</v>
      </c>
      <c r="O29" s="224" cm="1">
        <f t="array" ref="O29">Fuel_Equations.VEERG_8_2_1_1__1_FuelCombustionStationary($L29,$G29,I29)</f>
        <v>0</v>
      </c>
      <c r="P29" s="224" cm="1">
        <f t="array" ref="P29">Fuel_Equations.VEERG_8_2_1_1__1_FuelCombustionStationary($L29,$G29,J29)</f>
        <v>0</v>
      </c>
      <c r="Q29" s="224" cm="1">
        <f t="array" ref="Q29">Fuel_Equations.VEERG_8_2_1_1__1_FuelCombustionStationary($L29,$G29,IF(ISNUMBER(K29), K29, 0))</f>
        <v>0</v>
      </c>
    </row>
    <row r="30" spans="1:17" ht="20.100000000000001" customHeight="1" x14ac:dyDescent="0.25">
      <c r="A30" s="5" t="str">
        <f>HYPERLINK("#'5.1.1.3-4 Inorganic fert CO2'!A1", "5.1.1.3-4 Inorganic fert CO2")</f>
        <v>5.1.1.3-4 Inorganic fert CO2</v>
      </c>
      <c r="D30" s="204" t="str">
        <f t="shared" si="0"/>
        <v>Generators</v>
      </c>
      <c r="E30" s="202" t="str">
        <f>'Constants - Fuel'!$D$75</f>
        <v>Biofuels other than those mentioned in the items above and below</v>
      </c>
      <c r="F30" s="202"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2" cm="1">
        <f t="array" ref="L30">Fuel_InputFunctions.Fuel_TotalConsumption(Table_Input_Fuel[Amount consumed], Table_Input_Fuel[Fuel use (select)], D30, Table_Input_Fuel[Fuel type (select)],F30)</f>
        <v>0</v>
      </c>
      <c r="M30" s="182" t="str" cm="1">
        <f t="array" ref="M30">Common_InputFunctions.Utility_LookupValueInTable(F30,Table_FuelTypes_Units[Fuel type],Table_FuelTypes_Units[Unit])</f>
        <v>kL</v>
      </c>
      <c r="N30" s="224" cm="1">
        <f t="array" ref="N30">Fuel_Equations.VEERG_8_2_1_1__1_FuelCombustionStationary($L30,$G30,H30)</f>
        <v>0</v>
      </c>
      <c r="O30" s="224" cm="1">
        <f t="array" ref="O30">Fuel_Equations.VEERG_8_2_1_1__1_FuelCombustionStationary($L30,$G30,I30)</f>
        <v>0</v>
      </c>
      <c r="P30" s="224" cm="1">
        <f t="array" ref="P30">Fuel_Equations.VEERG_8_2_1_1__1_FuelCombustionStationary($L30,$G30,J30)</f>
        <v>0</v>
      </c>
      <c r="Q30" s="224" cm="1">
        <f t="array" ref="Q30">Fuel_Equations.VEERG_8_2_1_1__1_FuelCombustionStationary($L30,$G30,IF(ISNUMBER(K30), K30, 0))</f>
        <v>0</v>
      </c>
    </row>
    <row r="31" spans="1:17" ht="20.100000000000001" customHeight="1" x14ac:dyDescent="0.25">
      <c r="A31" s="5" t="str">
        <f>HYPERLINK("#'5.2.1.1-2 Organic Fert N2O'!A1", "5.2.1.1-2 Organic fert N2O")</f>
        <v>5.2.1.1-2 Organic fert N2O</v>
      </c>
      <c r="D31" s="204" t="str">
        <f t="shared" si="0"/>
        <v>Generators</v>
      </c>
      <c r="E31" s="202" t="str">
        <f>'Constants - Fuel'!$D$77</f>
        <v>Renewable diesel</v>
      </c>
      <c r="F31" s="202" t="str">
        <f>'Constants - Fuel'!D137</f>
        <v>Renewable diesel</v>
      </c>
      <c r="G31" s="200">
        <f>IFERROR(_xlfn.XLOOKUP($E31, Table_Fuel_EFs_StationaryLiquid[Fuel combusted], Table_Fuel_EFs_StationaryLiquid[Energy Content Factor (GJ per unit of fuel)]),0)</f>
        <v>38.6</v>
      </c>
      <c r="H31" s="200">
        <f>IFERROR(_xlfn.XLOOKUP($E31, Table_Fuel_EFs_StationaryLiquid[Fuel combusted], Table_Fuel_EFs_StationaryLiquid[Scope 1 Emission Factor (kg CO2 - e / GJ) CO2]),0)</f>
        <v>0</v>
      </c>
      <c r="I31" s="200">
        <f>IFERROR(_xlfn.XLOOKUP($E31, Table_Fuel_EFs_StationaryLiquid[Fuel combusted], Table_Fuel_EFs_StationaryLiquid[Scope 1 Emission Factor (kg CO2 - e / GJ) CH4]),0)</f>
        <v>0.1</v>
      </c>
      <c r="J31" s="200">
        <f>IFERROR(_xlfn.XLOOKUP($E31, Table_Fuel_EFs_StationaryLiquid[Fuel combusted], Table_Fuel_EFs_StationaryLiquid[Scope 1 Emission Factor (kg CO2 - e / GJ) N2O]),0)</f>
        <v>0.2</v>
      </c>
      <c r="K31" s="200" t="str">
        <f>IFERROR(_xlfn.XLOOKUP($E31, Table_Fuel_EFs_StationaryLiquid[Fuel combusted], Table_Fuel_EFs_StationaryLiquid[Scope 3 Emission Factor (kg CO2 - e / GJ)]),0)</f>
        <v>NE</v>
      </c>
      <c r="L31" s="205" cm="1">
        <f t="array" ref="L31">Fuel_InputFunctions.Fuel_TotalConsumption(Table_Input_Fuel[Amount consumed], Table_Input_Fuel[Fuel use (select)], D31, Table_Input_Fuel[Fuel type (select)],F31)</f>
        <v>0</v>
      </c>
      <c r="M31" s="205" t="str" cm="1">
        <f t="array" ref="M31">Common_InputFunctions.Utility_LookupValueInTable(F31,Table_FuelTypes_Units[Fuel type],Table_FuelTypes_Units[Unit])</f>
        <v>kL</v>
      </c>
      <c r="N31" s="225" cm="1">
        <f t="array" ref="N31">Fuel_Equations.VEERG_8_2_1_1__1_FuelCombustionStationary($L31,$G31,H31)</f>
        <v>0</v>
      </c>
      <c r="O31" s="225" cm="1">
        <f t="array" ref="O31">Fuel_Equations.VEERG_8_2_1_1__1_FuelCombustionStationary($L31,$G31,I31)</f>
        <v>0</v>
      </c>
      <c r="P31" s="225" cm="1">
        <f t="array" ref="P31">Fuel_Equations.VEERG_8_2_1_1__1_FuelCombustionStationary($L31,$G31,J31)</f>
        <v>0</v>
      </c>
      <c r="Q31" s="225" cm="1">
        <f t="array" ref="Q31">Fuel_Equations.VEERG_8_2_1_1__1_FuelCombustionStationary($L31,$G31,IF(ISNUMBER(K31), K31, 0))</f>
        <v>0</v>
      </c>
    </row>
    <row r="32" spans="1:17" ht="20.100000000000001" customHeight="1" x14ac:dyDescent="0.25">
      <c r="A32" s="5" t="str">
        <f>HYPERLINK("#'5.3.1.1-2 Lime CO2'!A1", "5.3.1.1-2 Lime CO2")</f>
        <v>5.3.1.1-2 Lime CO2</v>
      </c>
      <c r="D32" s="207" t="str">
        <f>Table_FuelTypesPerUse[[#Headers],[Power standalone machinery or heating]]</f>
        <v>Power standalone machinery or heating</v>
      </c>
      <c r="E32" s="208" t="str">
        <f>'Constants - Fuel'!$D$58</f>
        <v>Automotive gasoline / petrol (other than for use as fuel in an aircraft)</v>
      </c>
      <c r="F32" s="208" t="str">
        <f>'Constants - Fuel'!E131</f>
        <v>Petrol</v>
      </c>
      <c r="G32" s="215">
        <f>IFERROR(_xlfn.XLOOKUP($E32, Table_Fuel_EFs_StationaryLiquid[Fuel combusted], Table_Fuel_EFs_StationaryLiquid[Energy Content Factor (GJ per unit of fuel)]),0)</f>
        <v>34.200000000000003</v>
      </c>
      <c r="H32" s="215">
        <f>IFERROR(_xlfn.XLOOKUP($E32, Table_Fuel_EFs_StationaryLiquid[Fuel combusted], Table_Fuel_EFs_StationaryLiquid[Scope 1 Emission Factor (kg CO2 - e / GJ) CO2]),0)</f>
        <v>67.400000000000006</v>
      </c>
      <c r="I32" s="215">
        <f>IFERROR(_xlfn.XLOOKUP($E32, Table_Fuel_EFs_StationaryLiquid[Fuel combusted], Table_Fuel_EFs_StationaryLiquid[Scope 1 Emission Factor (kg CO2 - e / GJ) CH4]),0)</f>
        <v>0.2</v>
      </c>
      <c r="J32" s="215">
        <f>IFERROR(_xlfn.XLOOKUP($E32, Table_Fuel_EFs_StationaryLiquid[Fuel combusted], Table_Fuel_EFs_StationaryLiquid[Scope 1 Emission Factor (kg CO2 - e / GJ) N2O]),0)</f>
        <v>0.2</v>
      </c>
      <c r="K32" s="215">
        <f>IFERROR(_xlfn.XLOOKUP($E32, Table_Fuel_EFs_StationaryLiquid[Fuel combusted], Table_Fuel_EFs_StationaryLiquid[Scope 3 Emission Factor (kg CO2 - e / GJ)]),0)</f>
        <v>17.2</v>
      </c>
      <c r="L32" s="211" cm="1">
        <f t="array" ref="L32">Fuel_InputFunctions.Fuel_TotalConsumption(Table_Input_Fuel[Amount consumed], Table_Input_Fuel[Fuel use (select)], D32, Table_Input_Fuel[Fuel type (select)],F32)</f>
        <v>10</v>
      </c>
      <c r="M32" s="212" t="str" cm="1">
        <f t="array" ref="M32">Common_InputFunctions.Utility_LookupValueInTable(F32,Table_FuelTypes_Units[Fuel type],Table_FuelTypes_Units[Unit])</f>
        <v>kL</v>
      </c>
      <c r="N32" s="226" cm="1">
        <f t="array" ref="N32">Fuel_Equations.VEERG_8_2_1_1__1_FuelCombustionStationary($L32,$G32,H32)</f>
        <v>23.050800000000002</v>
      </c>
      <c r="O32" s="226" cm="1">
        <f t="array" ref="O32">Fuel_Equations.VEERG_8_2_1_1__1_FuelCombustionStationary($L32,$G32,I32)</f>
        <v>6.8400000000000002E-2</v>
      </c>
      <c r="P32" s="226" cm="1">
        <f t="array" ref="P32">Fuel_Equations.VEERG_8_2_1_1__1_FuelCombustionStationary($L32,$G32,J32)</f>
        <v>6.8400000000000002E-2</v>
      </c>
      <c r="Q32" s="226" cm="1">
        <f t="array" ref="Q32">Fuel_Equations.VEERG_8_2_1_1__1_FuelCombustionStationary($L32,$G32,IF(ISNUMBER(K32), K32, 0))</f>
        <v>5.8823999999999996</v>
      </c>
    </row>
    <row r="33" spans="1:17" ht="20.100000000000001" customHeight="1" x14ac:dyDescent="0.25">
      <c r="A33" s="5" t="str">
        <f>HYPERLINK("#'5.4.1.1-4 Atmos deposition'!A1", "5.4.1.1-4 Atmos. deposition")</f>
        <v>5.4.1.1-4 Atmos. deposition</v>
      </c>
      <c r="D33" s="204" t="str">
        <f t="shared" ref="D33:D40" si="1">$D$32</f>
        <v>Power standalone machinery or heating</v>
      </c>
      <c r="E33" s="202" t="str">
        <f>'Constants - Fuel'!$D$63</f>
        <v>Diesel oil</v>
      </c>
      <c r="F33" s="202"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4" cm="1">
        <f t="array" ref="N33">Fuel_Equations.VEERG_8_2_1_1__1_FuelCombustionStationary($L33,$G33,H33)</f>
        <v>0</v>
      </c>
      <c r="O33" s="224" cm="1">
        <f t="array" ref="O33">Fuel_Equations.VEERG_8_2_1_1__1_FuelCombustionStationary($L33,$G33,I33)</f>
        <v>0</v>
      </c>
      <c r="P33" s="224" cm="1">
        <f t="array" ref="P33">Fuel_Equations.VEERG_8_2_1_1__1_FuelCombustionStationary($L33,$G33,J33)</f>
        <v>0</v>
      </c>
      <c r="Q33" s="224" cm="1">
        <f t="array" ref="Q33">Fuel_Equations.VEERG_8_2_1_1__1_FuelCombustionStationary($L33,$G33,IF(ISNUMBER(K33), K33, 0))</f>
        <v>0</v>
      </c>
    </row>
    <row r="34" spans="1:17" ht="20.100000000000001" customHeight="1" x14ac:dyDescent="0.25">
      <c r="A34" s="5" t="str">
        <f>HYPERLINK("#'5.5.1.1-2 Leaching and runoff'!A1", "5.5.1.1-2 Leaching &amp; runoff")</f>
        <v>5.5.1.1-2 Leaching &amp; runoff</v>
      </c>
      <c r="D34" s="204" t="str">
        <f t="shared" si="1"/>
        <v>Power standalone machinery or heating</v>
      </c>
      <c r="E34" s="202" t="str">
        <f>'Constants - Fuel'!$D$67</f>
        <v>Liquefied petroleum gas (LPG)</v>
      </c>
      <c r="F34" s="202"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4" cm="1">
        <f t="array" ref="N34">Fuel_Equations.VEERG_8_2_1_1__1_FuelCombustionStationary($L34,$G34,H34)</f>
        <v>0</v>
      </c>
      <c r="O34" s="224" cm="1">
        <f t="array" ref="O34">Fuel_Equations.VEERG_8_2_1_1__1_FuelCombustionStationary($L34,$G34,I34)</f>
        <v>0</v>
      </c>
      <c r="P34" s="224" cm="1">
        <f t="array" ref="P34">Fuel_Equations.VEERG_8_2_1_1__1_FuelCombustionStationary($L34,$G34,J34)</f>
        <v>0</v>
      </c>
      <c r="Q34" s="224" cm="1">
        <f t="array" ref="Q34">Fuel_Equations.VEERG_8_2_1_1__1_FuelCombustionStationary($L34,$G34,IF(ISNUMBER(K34), K34, 0))</f>
        <v>0</v>
      </c>
    </row>
    <row r="35" spans="1:17" ht="20.100000000000001" customHeight="1" x14ac:dyDescent="0.25">
      <c r="A35" s="5" t="str">
        <f>HYPERLINK("#'6.2.1.1-2 Pasture residue N2O'!A1", "6.2.1.1-2 Pasture residue N2O")</f>
        <v>6.2.1.1-2 Pasture residue N2O</v>
      </c>
      <c r="D35" s="204" t="str">
        <f t="shared" si="1"/>
        <v>Power standalone machinery or heating</v>
      </c>
      <c r="E35" s="202" t="str">
        <f>'Constants - Fuel'!$D$73</f>
        <v>Biodiesel</v>
      </c>
      <c r="F35" s="202"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4" cm="1">
        <f t="array" ref="N35">Fuel_Equations.VEERG_8_2_1_1__1_FuelCombustionStationary($L35,$G35,H35)</f>
        <v>0</v>
      </c>
      <c r="O35" s="224" cm="1">
        <f t="array" ref="O35">Fuel_Equations.VEERG_8_2_1_1__1_FuelCombustionStationary($L35,$G35,I35)</f>
        <v>0</v>
      </c>
      <c r="P35" s="224" cm="1">
        <f t="array" ref="P35">Fuel_Equations.VEERG_8_2_1_1__1_FuelCombustionStationary($L35,$G35,J35)</f>
        <v>0</v>
      </c>
      <c r="Q35" s="224" cm="1">
        <f t="array" ref="Q35">Fuel_Equations.VEERG_8_2_1_1__1_FuelCombustionStationary($L35,$G35,IF(ISNUMBER(K35), K35, 0))</f>
        <v>0</v>
      </c>
    </row>
    <row r="36" spans="1:17" ht="20.100000000000001" customHeight="1" x14ac:dyDescent="0.25">
      <c r="A36" s="5" t="str">
        <f>HYPERLINK("#'6.3.1.1-2 Leach runoff pasture'!A1", "6.3.1.1-2 Leach &amp; runoff (pasture)")</f>
        <v>6.3.1.1-2 Leach &amp; runoff (pasture)</v>
      </c>
      <c r="D36" s="204" t="str">
        <f t="shared" si="1"/>
        <v>Power standalone machinery or heating</v>
      </c>
      <c r="E36" s="202" t="str">
        <f>'Constants - Fuel'!$D$74</f>
        <v>Ethanol for use as a fuel in an internal combustion engine</v>
      </c>
      <c r="F36" s="202"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4" cm="1">
        <f t="array" ref="N36">Fuel_Equations.VEERG_8_2_1_1__1_FuelCombustionStationary($L36,$G36,H36)</f>
        <v>0</v>
      </c>
      <c r="O36" s="224" cm="1">
        <f t="array" ref="O36">Fuel_Equations.VEERG_8_2_1_1__1_FuelCombustionStationary($L36,$G36,I36)</f>
        <v>0</v>
      </c>
      <c r="P36" s="224" cm="1">
        <f t="array" ref="P36">Fuel_Equations.VEERG_8_2_1_1__1_FuelCombustionStationary($L36,$G36,J36)</f>
        <v>0</v>
      </c>
      <c r="Q36" s="224" cm="1">
        <f t="array" ref="Q36">Fuel_Equations.VEERG_8_2_1_1__1_FuelCombustionStationary($L36,$G36,IF(ISNUMBER(K36), K36, 0))</f>
        <v>0</v>
      </c>
    </row>
    <row r="37" spans="1:17" ht="20.100000000000001" customHeight="1" x14ac:dyDescent="0.25">
      <c r="A37" s="5" t="str">
        <f>HYPERLINK("#'8.1.1.1-2 Transport fuel'!A1", "8.1.1.1-2 Transport fuel")</f>
        <v>8.1.1.1-2 Transport fuel</v>
      </c>
      <c r="D37" s="204" t="str">
        <f t="shared" si="1"/>
        <v>Power standalone machinery or heating</v>
      </c>
      <c r="E37" s="202" t="str">
        <f>'Constants - Fuel'!$D$75</f>
        <v>Biofuels other than those mentioned in the items above and below</v>
      </c>
      <c r="F37" s="202"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4" cm="1">
        <f t="array" ref="N37">Fuel_Equations.VEERG_8_2_1_1__1_FuelCombustionStationary($L37,$G37,H37)</f>
        <v>0</v>
      </c>
      <c r="O37" s="224" cm="1">
        <f t="array" ref="O37">Fuel_Equations.VEERG_8_2_1_1__1_FuelCombustionStationary($L37,$G37,I37)</f>
        <v>0</v>
      </c>
      <c r="P37" s="224" cm="1">
        <f t="array" ref="P37">Fuel_Equations.VEERG_8_2_1_1__1_FuelCombustionStationary($L37,$G37,J37)</f>
        <v>0</v>
      </c>
      <c r="Q37" s="224" cm="1">
        <f t="array" ref="Q37">Fuel_Equations.VEERG_8_2_1_1__1_FuelCombustionStationary($L37,$G37,IF(ISNUMBER(K37), K37, 0))</f>
        <v>0</v>
      </c>
    </row>
    <row r="38" spans="1:17" ht="20.100000000000001" customHeight="1" x14ac:dyDescent="0.25">
      <c r="A38" s="108" t="str">
        <f>HYPERLINK("#'8.2.1.1-2 Stationary fuel'!A1", "8.2.1.1-2 Stationary fuel")</f>
        <v>8.2.1.1-2 Stationary fuel</v>
      </c>
      <c r="D38" s="204" t="str">
        <f t="shared" si="1"/>
        <v>Power standalone machinery or heating</v>
      </c>
      <c r="E38" s="202" t="str">
        <f>'Constants - Fuel'!$D$77</f>
        <v>Renewable diesel</v>
      </c>
      <c r="F38" s="202"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4" cm="1">
        <f t="array" ref="N38">Fuel_Equations.VEERG_8_2_1_1__1_FuelCombustionStationary($L38,$G38,H38)</f>
        <v>0</v>
      </c>
      <c r="O38" s="224" cm="1">
        <f t="array" ref="O38">Fuel_Equations.VEERG_8_2_1_1__1_FuelCombustionStationary($L38,$G38,I38)</f>
        <v>0</v>
      </c>
      <c r="P38" s="224" cm="1">
        <f t="array" ref="P38">Fuel_Equations.VEERG_8_2_1_1__1_FuelCombustionStationary($L38,$G38,J38)</f>
        <v>0</v>
      </c>
      <c r="Q38" s="224" cm="1">
        <f t="array" ref="Q38">Fuel_Equations.VEERG_8_2_1_1__1_FuelCombustionStationary($L38,$G38,IF(ISNUMBER(K38), K38, 0))</f>
        <v>0</v>
      </c>
    </row>
    <row r="39" spans="1:17" ht="20.100000000000001" customHeight="1" x14ac:dyDescent="0.25">
      <c r="A39" s="5" t="str">
        <f>HYPERLINK("#'14.1.1-2 Purchased electricity'!A1", "14.1.1-2 Purchased electricity")</f>
        <v>14.1.1-2 Purchased electricity</v>
      </c>
      <c r="D39" s="204" t="str">
        <f t="shared" si="1"/>
        <v>Power standalone machinery or heating</v>
      </c>
      <c r="E39" s="202" t="str">
        <f>'Constants - Fuel'!$D$103</f>
        <v>Natural gas distributed in a pipeline - Gigajoules</v>
      </c>
      <c r="F39" s="202"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2" cm="1">
        <f t="array" ref="L39">Fuel_InputFunctions.Fuel_TotalConsumption(Table_Input_Fuel[Amount consumed], Table_Input_Fuel[Fuel use (select)], D39, Table_Input_Fuel[Fuel type (select)],F39)</f>
        <v>0</v>
      </c>
      <c r="M39" s="182" t="str" cm="1">
        <f t="array" ref="M39">Common_InputFunctions.Utility_LookupValueInTable(F39,Table_FuelTypes_Units[Fuel type],Table_FuelTypes_Units[Unit])</f>
        <v>GJ</v>
      </c>
      <c r="N39" s="224" cm="1">
        <f t="array" ref="N39">Fuel_Equations.VEERG_8_2_1_1__1_FuelCombustionStationary($L39,$G39,H39)</f>
        <v>0</v>
      </c>
      <c r="O39" s="224" cm="1">
        <f t="array" ref="O39">Fuel_Equations.VEERG_8_2_1_1__1_FuelCombustionStationary($L39,$G39,I39)</f>
        <v>0</v>
      </c>
      <c r="P39" s="224" cm="1">
        <f t="array" ref="P39">Fuel_Equations.VEERG_8_2_1_1__1_FuelCombustionStationary($L39,$G39,J39)</f>
        <v>0</v>
      </c>
      <c r="Q39" s="224" cm="1">
        <f t="array" ref="Q39">Fuel_Equations.VEERG_8_2_1_1__1_FuelCombustionStationary($L39,$G39,IF(ISNUMBER(K39), K39, 0))</f>
        <v>0</v>
      </c>
    </row>
    <row r="40" spans="1:17" ht="20.100000000000001" customHeight="1" x14ac:dyDescent="0.25">
      <c r="A40" s="5" t="str">
        <f>HYPERLINK("#'15 Scope 3'!A1", "15 Scope 3")</f>
        <v>15 Scope 3</v>
      </c>
      <c r="D40" s="204" t="str">
        <f t="shared" si="1"/>
        <v>Power standalone machinery or heating</v>
      </c>
      <c r="E40" s="202" t="str">
        <f>'Constants - Fuel'!$D$104</f>
        <v>Town gas - Gigajoules</v>
      </c>
      <c r="F40" s="202"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2" cm="1">
        <f t="array" ref="L40">Fuel_InputFunctions.Fuel_TotalConsumption(Table_Input_Fuel[Amount consumed], Table_Input_Fuel[Fuel use (select)], D40, Table_Input_Fuel[Fuel type (select)],F40)</f>
        <v>100</v>
      </c>
      <c r="M40" s="182" t="str" cm="1">
        <f t="array" ref="M40">Common_InputFunctions.Utility_LookupValueInTable(F40,Table_FuelTypes_Units[Fuel type],Table_FuelTypes_Units[Unit])</f>
        <v>GJ</v>
      </c>
      <c r="N40" s="224" cm="1">
        <f t="array" ref="N40">Fuel_Equations.VEERG_8_2_1_1__1_FuelCombustionStationary($L40,$G40,H40)</f>
        <v>6.0200000000000005</v>
      </c>
      <c r="O40" s="224" cm="1">
        <f t="array" ref="O40">Fuel_Equations.VEERG_8_2_1_1__1_FuelCombustionStationary($L40,$G40,I40)</f>
        <v>4.0000000000000001E-3</v>
      </c>
      <c r="P40" s="224" cm="1">
        <f t="array" ref="P40">Fuel_Equations.VEERG_8_2_1_1__1_FuelCombustionStationary($L40,$G40,J40)</f>
        <v>3.0000000000000001E-3</v>
      </c>
      <c r="Q40" s="224" cm="1">
        <f t="array" ref="Q40">Fuel_Equations.VEERG_8_2_1_1__1_FuelCombustionStationary($L40,$G40,IF(ISNUMBER(K40), K40, 0))</f>
        <v>0.41</v>
      </c>
    </row>
    <row r="41" spans="1:17" ht="20.100000000000001" customHeight="1" x14ac:dyDescent="0.25">
      <c r="A41" s="5" t="str">
        <f>HYPERLINK("#'Calcs - Manure sent off-site'!A1", "Calcs - Manure sent off-site")</f>
        <v>Calcs - Manure sent off-site</v>
      </c>
    </row>
    <row r="42" spans="1:17" ht="20.100000000000001" customHeight="1" x14ac:dyDescent="0.25">
      <c r="A42" s="5" t="str">
        <f>HYPERLINK("#'10.1.1-2 Solid waste treatment'!A1", "10.1.1-2 Solid waste treatment")</f>
        <v>10.1.1-2 Solid waste treatment</v>
      </c>
      <c r="D42" s="217" t="str">
        <f>"Total scope 1 - " &amp; D25</f>
        <v>Total scope 1 - Generators</v>
      </c>
      <c r="E42" s="218"/>
      <c r="F42" s="219"/>
    </row>
    <row r="43" spans="1:17" ht="20.100000000000001" customHeight="1" x14ac:dyDescent="0.25">
      <c r="D43" s="35" t="s">
        <v>739</v>
      </c>
      <c r="E43" s="220">
        <f>SUM(N25:N31)</f>
        <v>0</v>
      </c>
      <c r="F43" s="26" t="str">
        <f>$E$12</f>
        <v>t CO2-e</v>
      </c>
    </row>
    <row r="44" spans="1:17" ht="20.100000000000001" customHeight="1" x14ac:dyDescent="0.25">
      <c r="D44" s="35" t="s">
        <v>740</v>
      </c>
      <c r="E44" s="220">
        <f>SUM(O25:O31)</f>
        <v>0</v>
      </c>
      <c r="F44" s="26" t="str">
        <f t="shared" ref="F44:F46" si="2">$E$12</f>
        <v>t CO2-e</v>
      </c>
    </row>
    <row r="45" spans="1:17" ht="20.100000000000001" customHeight="1" x14ac:dyDescent="0.25">
      <c r="A45" s="94" t="s">
        <v>1</v>
      </c>
      <c r="D45" s="35" t="s">
        <v>741</v>
      </c>
      <c r="E45" s="220">
        <f>SUM(P25:P31)</f>
        <v>0</v>
      </c>
      <c r="F45" s="26" t="str">
        <f t="shared" si="2"/>
        <v>t CO2-e</v>
      </c>
    </row>
    <row r="46" spans="1:17" ht="20.100000000000001" customHeight="1" x14ac:dyDescent="0.25">
      <c r="A46" s="5" t="str">
        <f>HYPERLINK("#'Constants - Pasture Beef'!A1", "Constants - Pasture Beef")</f>
        <v>Constants - Pasture Beef</v>
      </c>
      <c r="D46" s="35" t="s">
        <v>742</v>
      </c>
      <c r="E46" s="220">
        <f>SUM(Q25:Q31)</f>
        <v>0</v>
      </c>
      <c r="F46" s="26" t="str">
        <f t="shared" si="2"/>
        <v>t CO2-e</v>
      </c>
    </row>
    <row r="47" spans="1:17" ht="20.100000000000001" customHeight="1" x14ac:dyDescent="0.25">
      <c r="A47" s="5" t="str">
        <f>HYPERLINK("#'Constants - Ag Residue'!A1", "Constants - Ag residue")</f>
        <v>Constants - Ag residue</v>
      </c>
      <c r="H47" s="178"/>
      <c r="I47" s="178"/>
      <c r="J47" s="178"/>
      <c r="L47" s="178"/>
      <c r="N47" s="178"/>
      <c r="O47" s="178"/>
      <c r="P47" s="178"/>
      <c r="Q47" s="178"/>
    </row>
    <row r="48" spans="1:17" ht="20.100000000000001" customHeight="1" x14ac:dyDescent="0.25">
      <c r="A48" s="5" t="str">
        <f>HYPERLINK("#'Constants - Common Livestock'!A1", "Constants - Common Livestock")</f>
        <v>Constants - Common Livestock</v>
      </c>
      <c r="D48" s="217" t="str">
        <f>"Total scope 1 - " &amp; D32</f>
        <v>Total scope 1 - Power standalone machinery or heating</v>
      </c>
      <c r="E48" s="221"/>
      <c r="F48" s="219"/>
      <c r="H48" s="178"/>
      <c r="I48" s="178"/>
      <c r="J48" s="178"/>
      <c r="L48" s="178"/>
      <c r="N48" s="178"/>
      <c r="O48" s="178"/>
      <c r="P48" s="178"/>
      <c r="Q48" s="178"/>
    </row>
    <row r="49" spans="1:17" ht="20.100000000000001" customHeight="1" x14ac:dyDescent="0.25">
      <c r="A49" s="5" t="str">
        <f>HYPERLINK("#'Constants - Electricity'!A1", "Constants - Electricity")</f>
        <v>Constants - Electricity</v>
      </c>
      <c r="D49" s="35" t="s">
        <v>739</v>
      </c>
      <c r="E49" s="220">
        <f>SUM(N32:N40)</f>
        <v>29.070800000000002</v>
      </c>
      <c r="F49" s="26" t="str">
        <f t="shared" ref="F49:F52" si="3">$E$12</f>
        <v>t CO2-e</v>
      </c>
      <c r="H49" s="178"/>
      <c r="I49" s="178"/>
      <c r="J49" s="178"/>
      <c r="L49" s="178"/>
      <c r="N49" s="178"/>
      <c r="O49" s="178"/>
      <c r="P49" s="178"/>
      <c r="Q49" s="178"/>
    </row>
    <row r="50" spans="1:17" ht="20.100000000000001" customHeight="1" x14ac:dyDescent="0.25">
      <c r="A50" s="5" t="str">
        <f>HYPERLINK("#'Constants - Fertiliser'!A1", "Constants - Fertiliser")</f>
        <v>Constants - Fertiliser</v>
      </c>
      <c r="D50" s="35" t="s">
        <v>740</v>
      </c>
      <c r="E50" s="220">
        <f>SUM(O32:O40)</f>
        <v>7.2400000000000006E-2</v>
      </c>
      <c r="F50" s="26" t="str">
        <f t="shared" si="3"/>
        <v>t CO2-e</v>
      </c>
      <c r="H50" s="178"/>
      <c r="I50" s="178"/>
      <c r="J50" s="178"/>
      <c r="L50" s="178"/>
      <c r="N50" s="178"/>
      <c r="O50" s="178"/>
      <c r="P50" s="178"/>
      <c r="Q50" s="178"/>
    </row>
    <row r="51" spans="1:17" ht="20.100000000000001" customHeight="1" x14ac:dyDescent="0.25">
      <c r="A51" s="5" t="str">
        <f>HYPERLINK("#'Constants - Fuel'!A1", "Constants - Fuel")</f>
        <v>Constants - Fuel</v>
      </c>
      <c r="D51" s="35" t="s">
        <v>741</v>
      </c>
      <c r="E51" s="220">
        <f>SUM(P32:P40)</f>
        <v>7.1400000000000005E-2</v>
      </c>
      <c r="F51" s="26" t="str">
        <f t="shared" si="3"/>
        <v>t CO2-e</v>
      </c>
      <c r="H51" s="178"/>
      <c r="I51" s="178"/>
      <c r="J51" s="178"/>
      <c r="L51" s="178"/>
      <c r="N51" s="178"/>
      <c r="O51" s="178"/>
      <c r="P51" s="178"/>
      <c r="Q51" s="178"/>
    </row>
    <row r="52" spans="1:17" ht="20.100000000000001" customHeight="1" x14ac:dyDescent="0.25">
      <c r="A52" s="5" t="str">
        <f>HYPERLINK("#'Constants - Scope 3'!A1", "Constants - Scope 3")</f>
        <v>Constants - Scope 3</v>
      </c>
      <c r="D52" s="35" t="s">
        <v>742</v>
      </c>
      <c r="E52" s="220">
        <f>SUM(Q32:Q40)</f>
        <v>6.2923999999999998</v>
      </c>
      <c r="F52" s="26" t="str">
        <f t="shared" si="3"/>
        <v>t CO2-e</v>
      </c>
      <c r="G52" s="178"/>
      <c r="H52" s="178"/>
      <c r="I52" s="178"/>
      <c r="J52" s="178"/>
      <c r="L52" s="178"/>
      <c r="N52" s="178"/>
      <c r="O52" s="178"/>
      <c r="P52" s="178"/>
      <c r="Q52" s="178"/>
    </row>
    <row r="53" spans="1:17" ht="20.100000000000001" customHeight="1" x14ac:dyDescent="0.25">
      <c r="A53" s="5" t="str">
        <f>HYPERLINK("#'Constants - Common'!A1", "Constants - Common")</f>
        <v>Constants - Common</v>
      </c>
      <c r="G53" s="178"/>
      <c r="H53" s="178"/>
      <c r="I53" s="178"/>
      <c r="J53" s="178"/>
      <c r="L53" s="178"/>
      <c r="N53" s="178"/>
      <c r="O53" s="178"/>
      <c r="P53" s="178"/>
      <c r="Q53" s="178"/>
    </row>
    <row r="54" spans="1:17" ht="20.100000000000001" customHeight="1" x14ac:dyDescent="0.25">
      <c r="A54" s="5" t="str">
        <f>HYPERLINK("#'Acknowledgements'!A1", "Acknowledgements")</f>
        <v>Acknowledgements</v>
      </c>
      <c r="D54" s="217" t="s">
        <v>753</v>
      </c>
      <c r="E54" s="221"/>
      <c r="F54" s="219"/>
      <c r="G54" s="178"/>
      <c r="H54" s="178"/>
      <c r="I54" s="178"/>
      <c r="J54" s="178"/>
      <c r="L54" s="178"/>
      <c r="N54" s="178"/>
      <c r="O54" s="178"/>
      <c r="P54" s="178"/>
      <c r="Q54" s="178"/>
    </row>
    <row r="55" spans="1:17" ht="20.100000000000001" customHeight="1" x14ac:dyDescent="0.25">
      <c r="A55" s="5" t="str">
        <f>HYPERLINK("#'Constants - Solid Waste'!A1", "Constants - Solid Waste")</f>
        <v>Constants - Solid Waste</v>
      </c>
      <c r="D55" s="35" t="s">
        <v>739</v>
      </c>
      <c r="E55" s="220">
        <f>E43+E49</f>
        <v>29.070800000000002</v>
      </c>
      <c r="F55" s="26" t="str">
        <f t="shared" ref="F55:F58" si="4">$E$12</f>
        <v>t CO2-e</v>
      </c>
      <c r="G55" s="178"/>
      <c r="H55" s="178"/>
      <c r="I55" s="178"/>
      <c r="J55" s="178"/>
      <c r="L55" s="178"/>
      <c r="N55" s="178"/>
      <c r="O55" s="178"/>
      <c r="P55" s="178"/>
      <c r="Q55" s="178"/>
    </row>
    <row r="56" spans="1:17" ht="20.100000000000001" customHeight="1" x14ac:dyDescent="0.25">
      <c r="D56" s="35" t="s">
        <v>740</v>
      </c>
      <c r="E56" s="220">
        <f>E44+E50</f>
        <v>7.2400000000000006E-2</v>
      </c>
      <c r="F56" s="26" t="str">
        <f t="shared" si="4"/>
        <v>t CO2-e</v>
      </c>
      <c r="H56" s="178"/>
    </row>
    <row r="57" spans="1:17" ht="20.100000000000001" customHeight="1" x14ac:dyDescent="0.25">
      <c r="D57" s="35" t="s">
        <v>741</v>
      </c>
      <c r="E57" s="220">
        <f>E45+E51</f>
        <v>7.1400000000000005E-2</v>
      </c>
      <c r="F57" s="26" t="str">
        <f t="shared" si="4"/>
        <v>t CO2-e</v>
      </c>
      <c r="G57" s="178"/>
      <c r="H57" s="178"/>
      <c r="I57" s="178"/>
      <c r="J57" s="178"/>
      <c r="L57" s="178"/>
      <c r="N57" s="178"/>
      <c r="O57" s="178"/>
      <c r="P57" s="178"/>
      <c r="Q57" s="178"/>
    </row>
    <row r="58" spans="1:17" ht="20.100000000000001" customHeight="1" x14ac:dyDescent="0.25">
      <c r="D58" s="35" t="s">
        <v>742</v>
      </c>
      <c r="E58" s="220">
        <f>E46+E52</f>
        <v>6.2923999999999998</v>
      </c>
      <c r="F58" s="26" t="str">
        <f t="shared" si="4"/>
        <v>t CO2-e</v>
      </c>
      <c r="G58" s="178"/>
      <c r="H58" s="178"/>
      <c r="I58" s="178"/>
      <c r="J58" s="178"/>
      <c r="L58" s="178"/>
      <c r="N58" s="178"/>
      <c r="O58" s="178"/>
      <c r="P58" s="178"/>
      <c r="Q58" s="178"/>
    </row>
    <row r="59" spans="1:17" ht="20.100000000000001" customHeight="1" x14ac:dyDescent="0.25">
      <c r="G59" s="178"/>
      <c r="H59" s="178"/>
      <c r="I59" s="178"/>
      <c r="J59" s="178"/>
      <c r="L59" s="178"/>
      <c r="N59" s="178"/>
      <c r="O59" s="178"/>
      <c r="P59" s="178"/>
      <c r="Q59" s="178"/>
    </row>
    <row r="60" spans="1:17" ht="20.100000000000001" customHeight="1" x14ac:dyDescent="0.25">
      <c r="G60" s="178"/>
      <c r="H60" s="178"/>
      <c r="I60" s="178"/>
      <c r="J60" s="178"/>
      <c r="L60" s="178"/>
      <c r="N60" s="178"/>
      <c r="O60" s="178"/>
      <c r="P60" s="178"/>
      <c r="Q60" s="178"/>
    </row>
    <row r="61" spans="1:17" ht="20.100000000000001" customHeight="1" x14ac:dyDescent="0.25">
      <c r="G61" s="178"/>
      <c r="H61" s="178"/>
      <c r="I61" s="178"/>
      <c r="J61" s="178"/>
      <c r="L61" s="178"/>
      <c r="N61" s="178"/>
      <c r="O61" s="178"/>
      <c r="P61" s="178"/>
      <c r="Q61" s="178"/>
    </row>
    <row r="62" spans="1:17" ht="20.100000000000001" customHeight="1" x14ac:dyDescent="0.25">
      <c r="G62" s="178"/>
      <c r="H62" s="178"/>
      <c r="I62" s="178"/>
      <c r="J62" s="178"/>
      <c r="L62" s="178"/>
      <c r="N62" s="178"/>
      <c r="O62" s="178"/>
      <c r="P62" s="178"/>
      <c r="Q62" s="178"/>
    </row>
    <row r="63" spans="1:17" ht="20.100000000000001" customHeight="1" x14ac:dyDescent="0.25">
      <c r="G63" s="178"/>
      <c r="H63" s="178"/>
      <c r="I63" s="178"/>
      <c r="J63" s="178"/>
      <c r="L63" s="178"/>
      <c r="N63" s="178"/>
      <c r="O63" s="178"/>
      <c r="P63" s="178"/>
      <c r="Q63" s="178"/>
    </row>
    <row r="64" spans="1:17" ht="20.100000000000001" customHeight="1" x14ac:dyDescent="0.25">
      <c r="G64" s="178"/>
      <c r="H64" s="178"/>
      <c r="I64" s="178"/>
      <c r="J64" s="178"/>
      <c r="L64" s="178"/>
      <c r="N64" s="178"/>
      <c r="O64" s="178"/>
      <c r="P64" s="178"/>
      <c r="Q64" s="178"/>
    </row>
    <row r="65" spans="7:17" ht="20.100000000000001" customHeight="1" x14ac:dyDescent="0.25">
      <c r="G65" s="178"/>
      <c r="H65" s="178"/>
      <c r="I65" s="178"/>
      <c r="J65" s="178"/>
      <c r="L65" s="178"/>
      <c r="N65" s="178"/>
      <c r="O65" s="178"/>
      <c r="P65" s="178"/>
      <c r="Q65" s="178"/>
    </row>
    <row r="66" spans="7:17" ht="20.100000000000001" customHeight="1" x14ac:dyDescent="0.25">
      <c r="G66" s="178"/>
      <c r="H66" s="178"/>
      <c r="I66" s="178"/>
      <c r="J66" s="178"/>
      <c r="L66" s="178"/>
      <c r="N66" s="178"/>
      <c r="O66" s="178"/>
      <c r="P66" s="178"/>
      <c r="Q66" s="178"/>
    </row>
    <row r="67" spans="7:17" ht="20.100000000000001" customHeight="1" x14ac:dyDescent="0.25">
      <c r="G67" s="178"/>
    </row>
    <row r="68" spans="7:17" ht="20.100000000000001" customHeight="1" x14ac:dyDescent="0.25">
      <c r="G68" s="178"/>
    </row>
    <row r="69" spans="7:17" ht="20.100000000000001" customHeight="1" x14ac:dyDescent="0.25">
      <c r="G69" s="178"/>
    </row>
    <row r="70" spans="7:17" ht="20.100000000000001" customHeight="1" x14ac:dyDescent="0.25">
      <c r="G70" s="178"/>
    </row>
    <row r="71" spans="7:17" ht="20.100000000000001" customHeight="1" x14ac:dyDescent="0.25">
      <c r="G71" s="17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BD224-8744-48D4-BEF1-4D3789C690C2}">
  <dimension ref="A1:K342"/>
  <sheetViews>
    <sheetView showGridLines="0" topLeftCell="C16"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7" t="s">
        <v>258</v>
      </c>
      <c r="E8" s="107"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260</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132</v>
      </c>
      <c r="E12" s="15" t="str" cm="1">
        <f t="array" ref="E12">Electricity_Equations.VEERG_14_1_1__1_LocationBasedScopeElectricityEmissions_Unit()</f>
        <v>t CO2e</v>
      </c>
    </row>
    <row r="13" spans="1:11" ht="20.100000000000001" customHeight="1" x14ac:dyDescent="0.25">
      <c r="A13" s="5" t="str">
        <f>HYPERLINK("#'Input - Pasture'!A1", "Pasture")</f>
        <v>Pasture</v>
      </c>
    </row>
    <row r="14" spans="1:11" ht="20.100000000000001" customHeight="1" x14ac:dyDescent="0.25">
      <c r="A14" s="5" t="str">
        <f>HYPERLINK("#'Input - Fertiliser'!A1", "Fertiliser")</f>
        <v>Fertiliser</v>
      </c>
      <c r="D14" s="109" t="str" cm="1">
        <f t="array" ref="D14:E16">_xlfn.CHOOSECOLS(Electricity_Equations.VEERG_14_1_1__1_LocationBasedScopeElectricityEmissions_Arguments(),1,2)</f>
        <v>Q_elec</v>
      </c>
      <c r="E14" s="110" t="str">
        <v>amount of electricity purchased from the grid</v>
      </c>
      <c r="F14" s="112"/>
      <c r="G14" s="109" t="str" cm="1">
        <f t="array" ref="G14:H16">_xlfn.CHOOSECOLS(Electricity_Equations.VEERG_14_1_1__1_LocationBasedScopeElectricityEmissions_Arguments(),3,4)</f>
        <v>kWh</v>
      </c>
      <c r="H14" s="113" t="str">
        <v>Input</v>
      </c>
      <c r="I14" s="110">
        <f>X_Cell_Electricity_Location_AmountPurchasedInkWh</f>
        <v>30000</v>
      </c>
      <c r="J14" s="112"/>
    </row>
    <row r="15" spans="1:11" ht="20.100000000000001" customHeight="1" x14ac:dyDescent="0.25">
      <c r="A15" s="5" t="str">
        <f>HYPERLINK("#'Input - Fuel'!A1", "Fuel")</f>
        <v>Fuel</v>
      </c>
      <c r="D15" s="109" t="str">
        <v>EF_2elec</v>
      </c>
      <c r="E15" s="110" t="str">
        <v>location-based Scope 2 emission factor for electricity</v>
      </c>
      <c r="F15" s="112"/>
      <c r="G15" s="109" t="str">
        <v>kg CO2e/kWh</v>
      </c>
      <c r="H15" s="114" t="str">
        <v>Constant</v>
      </c>
      <c r="I15" s="110" cm="1">
        <f t="array" ref="I15">Common_InputFunctions.Utility_LookupValueInTableNumber(I16,Table_SourceData_ElectricityEFs[State, Territory or grid description],Table_SourceData_ElectricityEFs[Scope 2 Emission Factors (kg CO2-e/kWh)])</f>
        <v>0.56000000000000005</v>
      </c>
      <c r="J15" s="112"/>
    </row>
    <row r="16" spans="1:11" ht="20.100000000000001" customHeight="1" x14ac:dyDescent="0.25">
      <c r="A16" s="5" t="str">
        <f>HYPERLINK("#'Input - Electricity'!A1", "Electricity")</f>
        <v>Electricity</v>
      </c>
      <c r="D16" s="109" t="str">
        <v>g</v>
      </c>
      <c r="E16" s="110" t="str">
        <v>Grid electricity was purchased from</v>
      </c>
      <c r="F16" s="112"/>
      <c r="G16" s="109" t="str">
        <v/>
      </c>
      <c r="H16" s="113" t="str">
        <v>Input</v>
      </c>
      <c r="I16" s="110" t="str">
        <f>X_Cell_Electricity_Location_GridElectricityPurchasedFrom</f>
        <v>Western Australia - North Western Interconnected System (NWIS)</v>
      </c>
      <c r="J16" s="112"/>
    </row>
    <row r="17" spans="1:11" ht="20.100000000000001" customHeight="1" x14ac:dyDescent="0.25">
      <c r="A17" s="5" t="str">
        <f>HYPERLINK("#'Input - Farm Inputs'!A1", "Farm Inputs")</f>
        <v>Farm Inputs</v>
      </c>
    </row>
    <row r="18" spans="1:11" ht="20.100000000000001" customHeight="1" x14ac:dyDescent="0.25">
      <c r="A18" s="5" t="str">
        <f>HYPERLINK("#'Input - Freight'!A1", "Freight")</f>
        <v>Freight</v>
      </c>
      <c r="D18" s="121" t="s">
        <v>690</v>
      </c>
      <c r="E18" s="122" cm="1">
        <f t="array" ref="E18">Electricity_Equations.VEERG_14_1_1__1_LocationBasedScopeElectricityEmissions(I14,I15)</f>
        <v>16.8</v>
      </c>
      <c r="F18" s="123" t="str">
        <f>$E$12</f>
        <v>t CO2e</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row>
    <row r="21" spans="1:11" ht="20.100000000000001" customHeight="1" x14ac:dyDescent="0.25">
      <c r="C21" s="120"/>
      <c r="D21" s="120"/>
      <c r="E21" s="120"/>
      <c r="F21" s="120"/>
      <c r="G21" s="120"/>
      <c r="H21" s="120"/>
      <c r="I21" s="120"/>
      <c r="J21" s="120"/>
      <c r="K21" s="120"/>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A23" s="6" t="s">
        <v>2</v>
      </c>
      <c r="D23" s="27" t="str" cm="1">
        <f t="array" ref="D23">Electricity_Equations.VEERG_14_1_2__1_MarketBasedScopeElectricityEmissions_Source()</f>
        <v>VEERG 2026: 14.1.2, Equation (1)</v>
      </c>
    </row>
    <row r="24" spans="1:11" ht="20.100000000000001" customHeight="1" x14ac:dyDescent="0.25">
      <c r="A24" s="5" t="str">
        <f>HYPERLINK("#'3.2.1.1-2 Enteric Methane'!A1", "3.2.1.1-2 Enteric methane")</f>
        <v>3.2.1.1-2 Enteric methane</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HYPERLINK("#'4.2.1.1-2 Methane'!A1", "4.2.1.1-2 Manure methane")</f>
        <v>4.2.1.1-2 Manure methane</v>
      </c>
      <c r="D25" s="107" t="s">
        <v>258</v>
      </c>
      <c r="E25" s="107" t="str" cm="1">
        <f t="array" aca="1" ref="E25" ca="1">Common_InputFunctions.Utility_DisplayFunctionName(E39)</f>
        <v>=Electricity_Equations.VEERG_14_1_2__1_MarketBasedScopeElectricityEmissionsVariation</v>
      </c>
    </row>
    <row r="26" spans="1:11" ht="20.100000000000001" customHeight="1" x14ac:dyDescent="0.25">
      <c r="A26" s="5" t="str">
        <f>HYPERLINK("#'4.2.1.3-4 Soil direct N20'!A1", "4.2.1.3-4 Soil direct N2O")</f>
        <v>4.2.1.3-4 Soil direct N2O</v>
      </c>
    </row>
    <row r="27" spans="1:11" ht="20.100000000000001" customHeight="1" x14ac:dyDescent="0.25">
      <c r="A27" s="5" t="str">
        <f>HYPERLINK("#'4.2.1.5-6 Soil Atmos Dep'!A1", "4.2.1.5-6 Soil atm. deposition")</f>
        <v>4.2.1.5-6 Soil atm. deposition</v>
      </c>
    </row>
    <row r="28" spans="1:11" ht="20.100000000000001" customHeight="1" x14ac:dyDescent="0.25">
      <c r="A28" s="5" t="str">
        <f>HYPERLINK("#'4.2.1.7-8 Soil leach runoff'!A1", "4.2.1.7-8 Soil leach &amp; runoff")</f>
        <v>4.2.1.7-8 Soil leach &amp; runoff</v>
      </c>
      <c r="D28" s="88" t="s">
        <v>260</v>
      </c>
      <c r="E28" s="1" t="str" cm="1">
        <f t="array" ref="E28">Electricity_Equations.VEERG_14_1_2__1_MarketBasedScopeElectricityEmissions_Variable()</f>
        <v>E_2elec</v>
      </c>
    </row>
    <row r="29" spans="1:11" ht="20.100000000000001" customHeight="1" x14ac:dyDescent="0.25">
      <c r="A29" s="5" t="str">
        <f>HYPERLINK("#'5.1.1.1-2 Inorganic fert N2O'!A1", "5.1.1.1-2 Inorganic fert N2O")</f>
        <v>5.1.1.1-2 Inorganic fert N2O</v>
      </c>
      <c r="D29" s="88" t="s">
        <v>132</v>
      </c>
      <c r="E29" s="15" t="str" cm="1">
        <f t="array" ref="E29">Electricity_Equations.VEERG_14_1_2__1_MarketBasedScopeElectricityEmissions_Unit()</f>
        <v>t CO2e</v>
      </c>
    </row>
    <row r="30" spans="1:11" ht="20.100000000000001" customHeight="1" x14ac:dyDescent="0.25">
      <c r="A30" s="5" t="str">
        <f>HYPERLINK("#'5.1.1.3-4 Inorganic fert CO2'!A1", "5.1.1.3-4 Inorganic fert CO2")</f>
        <v>5.1.1.3-4 Inorganic fert CO2</v>
      </c>
    </row>
    <row r="31" spans="1:11" ht="20.100000000000001" customHeight="1" x14ac:dyDescent="0.25">
      <c r="A31" s="5" t="str">
        <f>HYPERLINK("#'5.2.1.1-2 Organic Fert N2O'!A1", "5.2.1.1-2 Organic fert N2O")</f>
        <v>5.2.1.1-2 Organic fert N2O</v>
      </c>
      <c r="D31" s="109" t="str" cm="1">
        <f t="array" ref="D31:E37">_xlfn.CHOOSECOLS(Electricity_Equations.VEERG_14_1_2__1_MarketBasedScopeElectricityEmissions_Arguments(),1,2)</f>
        <v>Q_elec</v>
      </c>
      <c r="E31" s="110" t="str">
        <v>amount of electricity purchased from the grid</v>
      </c>
      <c r="F31" s="111"/>
      <c r="G31" s="111"/>
      <c r="H31" s="109" t="str" cm="1">
        <f t="array" ref="H31:I37">_xlfn.CHOOSECOLS(Electricity_Equations.VEERG_14_1_2__1_MarketBasedScopeElectricityEmissions_Arguments(),3,4)</f>
        <v>kWh</v>
      </c>
      <c r="I31" s="113" t="str">
        <v>Input</v>
      </c>
      <c r="J31" s="109">
        <f>X_Cell_Electricity_Market_AmountPurchasedExcludingGreenPower</f>
        <v>30000</v>
      </c>
    </row>
    <row r="32" spans="1:11" ht="20.100000000000001" customHeight="1" x14ac:dyDescent="0.25">
      <c r="A32" s="5" t="str">
        <f>HYPERLINK("#'5.3.1.1-2 Lime CO2'!A1", "5.3.1.1-2 Lime CO2")</f>
        <v>5.3.1.1-2 Lime CO2</v>
      </c>
      <c r="D32" s="109" t="str">
        <v>RPP</v>
      </c>
      <c r="E32" s="110" t="str">
        <v>Renewable Power Percentage under the Large-scale Renewable Energy Target (LRET)</v>
      </c>
      <c r="F32" s="111"/>
      <c r="G32" s="111"/>
      <c r="H32" s="109" t="str">
        <v>per cent</v>
      </c>
      <c r="I32" s="113" t="str">
        <v>Input</v>
      </c>
      <c r="J32" s="195">
        <f>X_Cell_Electricity_Market_RenewablePowerPercentage</f>
        <v>0.1</v>
      </c>
    </row>
    <row r="33" spans="1:10" ht="20.100000000000001" customHeight="1" x14ac:dyDescent="0.25">
      <c r="A33" s="5" t="str">
        <f>HYPERLINK("#'5.4.1.1-4 Atmos deposition'!A1", "5.4.1.1-4 Atmos. deposition")</f>
        <v>5.4.1.1-4 Atmos. deposition</v>
      </c>
      <c r="D33" s="109" t="str">
        <v>JRPP</v>
      </c>
      <c r="E33" s="110" t="str">
        <v>jurisdictional renewable power percentage for the applicable period (ACT only)</v>
      </c>
      <c r="F33" s="111"/>
      <c r="G33" s="111"/>
      <c r="H33" s="109" t="str">
        <v>per cent</v>
      </c>
      <c r="I33" s="113" t="str">
        <v>Input</v>
      </c>
      <c r="J33" s="195" t="str">
        <f>IF(J37="ACT", X_Cell_Electricity_Market_JurisdictionalRenewablePowerPercentage, "N/A")</f>
        <v>N/A</v>
      </c>
    </row>
    <row r="34" spans="1:10" ht="20.100000000000001" customHeight="1" x14ac:dyDescent="0.25">
      <c r="A34" s="5" t="str">
        <f>HYPERLINK("#'5.5.1.1-2 Leaching and runoff'!A1", "5.5.1.1-2 Leaching &amp; runoff")</f>
        <v>5.5.1.1-2 Leaching &amp; runoff</v>
      </c>
      <c r="D34" s="109" t="str">
        <v>REC_surrendered</v>
      </c>
      <c r="E34" s="110" t="str">
        <v>Renewable Energy Certificates voluntarily surrendered in the reporting year</v>
      </c>
      <c r="F34" s="111"/>
      <c r="G34" s="111"/>
      <c r="H34" s="109" t="str">
        <v>MWh</v>
      </c>
      <c r="I34" s="113" t="str">
        <v>Input</v>
      </c>
      <c r="J34" s="109">
        <f>(X_Cell_Electricity_Market_AmountPurchasedGreenPower*10^-3)+X_Cell_TotalElegibleVoluntarilySurrenderedRECs</f>
        <v>10</v>
      </c>
    </row>
    <row r="35" spans="1:10" ht="20.100000000000001" customHeight="1" x14ac:dyDescent="0.25">
      <c r="A35" s="5" t="str">
        <f>HYPERLINK("#'6.2.1.1-2 Pasture residue N2O'!A1", "6.2.1.1-2 Pasture residue N2O")</f>
        <v>6.2.1.1-2 Pasture residue N2O</v>
      </c>
      <c r="D35" s="109" t="str">
        <v>REC_onsite</v>
      </c>
      <c r="E35" s="110" t="str">
        <v>Renewable Energy Certificates issued for electricity produced on-site during the year and consumed by the entity</v>
      </c>
      <c r="F35" s="111"/>
      <c r="G35" s="111"/>
      <c r="H35" s="109" t="str">
        <v>MWh</v>
      </c>
      <c r="I35" s="113" t="str">
        <v>Input</v>
      </c>
      <c r="J35" s="109">
        <f>X_Cell_TotalElegibleRECsForElectricityProducedOnSite</f>
        <v>0</v>
      </c>
    </row>
    <row r="36" spans="1:10" ht="20.100000000000001" customHeight="1" x14ac:dyDescent="0.25">
      <c r="A36" s="5" t="str">
        <f>HYPERLINK("#'6.3.1.1-2 Leach runoff pasture'!A1", "6.3.1.1-2 Leach &amp; runoff (pasture)")</f>
        <v>6.3.1.1-2 Leach &amp; runoff (pasture)</v>
      </c>
      <c r="D36" s="109" t="str">
        <v>EF_RMF2elec</v>
      </c>
      <c r="E36" s="110" t="str">
        <v>Scope 2 residual mix emission factor for electricity</v>
      </c>
      <c r="F36" s="111"/>
      <c r="G36" s="111"/>
      <c r="H36" s="109" t="str">
        <v>kg CO2e/kWh</v>
      </c>
      <c r="I36" s="114" t="str">
        <v>Constant</v>
      </c>
      <c r="J36" s="109" cm="1">
        <f t="array" ref="J36">Table_SourceData_ElectricityEFsMarketBased[Scope 2 EF (kg CO2-e/kWh)]</f>
        <v>0.81</v>
      </c>
    </row>
    <row r="37" spans="1:10" ht="20.100000000000001" customHeight="1" x14ac:dyDescent="0.25">
      <c r="A37" s="5" t="str">
        <f>HYPERLINK("#'8.1.1.1-2 Transport fuel'!A1", "8.1.1.1-2 Transport fuel")</f>
        <v>8.1.1.1-2 Transport fuel</v>
      </c>
      <c r="D37" s="109" t="str">
        <v>i</v>
      </c>
      <c r="E37" s="110" t="str">
        <v>state</v>
      </c>
      <c r="F37" s="111"/>
      <c r="G37" s="112"/>
      <c r="H37" s="109" t="str">
        <v/>
      </c>
      <c r="I37" s="113" t="str">
        <v>Input</v>
      </c>
      <c r="J37" s="109" t="str">
        <f>X_Cell_Site_State</f>
        <v>Western Australia</v>
      </c>
    </row>
    <row r="38" spans="1:10" ht="20.100000000000001" customHeight="1" x14ac:dyDescent="0.25">
      <c r="A38" s="5" t="str">
        <f>HYPERLINK("#'8.2.1.1-2 Stationary fuel'!A1", "8.2.1.1-2 Stationary fuel")</f>
        <v>8.2.1.1-2 Stationary fuel</v>
      </c>
    </row>
    <row r="39" spans="1:10" ht="20.100000000000001" customHeight="1" x14ac:dyDescent="0.25">
      <c r="A39" s="108" t="str">
        <f>HYPERLINK("#'14.1.1-2 Purchased electricity'!A1", "14.1.1-2 Purchased electricity")</f>
        <v>14.1.1-2 Purchased electricity</v>
      </c>
      <c r="D39" s="121" t="s">
        <v>690</v>
      </c>
      <c r="E39" s="122" cm="1">
        <f t="array" ref="E39">Electricity_Equations.VEERG_14_1_2__1_MarketBasedScopeElectricityEmissionsVariation(J31,J32,IF(ISNUMBER(J33), J33, 0),J34,J35,J36)</f>
        <v>13.77</v>
      </c>
      <c r="F39" s="123" t="str">
        <f>E29</f>
        <v>t CO2e</v>
      </c>
    </row>
    <row r="40" spans="1:10" ht="20.100000000000001" customHeight="1" x14ac:dyDescent="0.25">
      <c r="A40" s="5" t="str">
        <f>HYPERLINK("#'15 Scope 3'!A1", "15 Scope 3")</f>
        <v>15 Scope 3</v>
      </c>
      <c r="H40" s="1" t="s">
        <v>684</v>
      </c>
    </row>
    <row r="41" spans="1:10" ht="20.100000000000001" customHeight="1" x14ac:dyDescent="0.25">
      <c r="A41" s="5" t="str">
        <f>HYPERLINK("#'Calcs - Manure sent off-site'!A1", "Calcs - Manure sent off-site")</f>
        <v>Calcs - Manure sent off-site</v>
      </c>
    </row>
    <row r="42" spans="1:10" ht="20.100000000000001" customHeight="1" x14ac:dyDescent="0.25">
      <c r="A42" s="5" t="str">
        <f>HYPERLINK("#'10.1.1-2 Solid waste treatment'!A1", "10.1.1-2 Solid waste treatment")</f>
        <v>10.1.1-2 Solid waste treatment</v>
      </c>
    </row>
    <row r="43" spans="1:10" ht="20.100000000000001" customHeight="1" x14ac:dyDescent="0.25"/>
    <row r="44" spans="1:10" ht="20.100000000000001" customHeight="1" x14ac:dyDescent="0.25">
      <c r="E44" s="153"/>
    </row>
    <row r="45" spans="1:10" ht="20.100000000000001" customHeight="1" x14ac:dyDescent="0.25">
      <c r="A45" s="94" t="s">
        <v>1</v>
      </c>
    </row>
    <row r="46" spans="1:10" ht="20.100000000000001" customHeight="1" x14ac:dyDescent="0.25">
      <c r="A46" s="5" t="str">
        <f>HYPERLINK("#'Constants - Pasture Beef'!A1", "Constants - Pasture Beef")</f>
        <v>Constants - Pasture Beef</v>
      </c>
    </row>
    <row r="47" spans="1:10" ht="20.100000000000001" customHeight="1" x14ac:dyDescent="0.25">
      <c r="A47" s="5" t="str">
        <f>HYPERLINK("#'Constants - Ag Residue'!A1", "Constants - Ag residue")</f>
        <v>Constants - Ag residue</v>
      </c>
    </row>
    <row r="48" spans="1:10"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CB1E2D77-48CA-455B-B81B-44AA286D662F}"/>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5F1C5-20CB-46F9-8715-35A0EB3CF707}">
  <sheetPr>
    <tabColor theme="9" tint="-0.249977111117893"/>
  </sheetPr>
  <dimension ref="A1:AO642"/>
  <sheetViews>
    <sheetView showGridLines="0" topLeftCell="A285" workbookViewId="0" zoomScale="100" zoomScaleNormal="100">
      <selection activeCell="A55" sqref="A55"/>
    </sheetView>
  </sheetViews>
  <sheetFormatPr defaultRowHeight="15.75" x14ac:dyDescent="0.25"/>
  <cols>
    <col min="1" max="1" width="35" style="248" customWidth="1"/>
    <col min="2" max="2" width="5.28515625" style="248" customWidth="1"/>
    <col min="3" max="3" width="5.28515625" style="1" customWidth="1"/>
    <col min="4" max="40" width="35" style="1" customWidth="1"/>
    <col min="41" max="41" width="5.28515625" style="1" customWidth="1"/>
    <col min="42" max="16384" width="9.140625" style="248"/>
  </cols>
  <sheetData>
    <row r="1" spans="1:41" s="31" customFormat="1" ht="30" customHeight="1" x14ac:dyDescent="0.35">
      <c r="A1" s="16" t="e" vm="1">
        <v>#VALUE!</v>
      </c>
      <c r="C1" s="31" t="s">
        <v>1050</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7" t="s">
        <v>258</v>
      </c>
      <c r="E7" s="107"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7"/>
    </row>
    <row r="10" spans="1:41" ht="20.100000000000001" customHeight="1" x14ac:dyDescent="0.25">
      <c r="A10" s="5" t="str">
        <f>HYPERLINK("#'Input - Site'!A1", "Site")</f>
        <v>Site</v>
      </c>
      <c r="D10" s="88" t="s">
        <v>260</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132</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Pasture'!A1", "Pasture")</f>
        <v>Pasture</v>
      </c>
      <c r="D13" s="109" t="str" cm="1">
        <f t="array" ref="D13:E17">_xlfn.CHOOSECOLS(Scope3_Equations.VEERG_15_1_1_1__1_EmissionsFromPurchasedLivestock_Arguments(),1,2)</f>
        <v>N_co</v>
      </c>
      <c r="E13" s="110" t="str">
        <v>number of animals purchased in livestock type c from origin o</v>
      </c>
      <c r="F13" s="112"/>
      <c r="G13" s="109" t="str" cm="1">
        <f t="array" ref="G13:H17">_xlfn.CHOOSECOLS(Scope3_Equations.VEERG_15_1_1_1__1_EmissionsFromPurchasedLivestock_Arguments(),3,4)</f>
        <v>head</v>
      </c>
      <c r="H13" s="261" t="str">
        <v>Input</v>
      </c>
    </row>
    <row r="14" spans="1:41" ht="20.100000000000001" customHeight="1" x14ac:dyDescent="0.25">
      <c r="A14" s="5" t="str">
        <f>HYPERLINK("#'Input - Fertiliser'!A1", "Fertiliser")</f>
        <v>Fertiliser</v>
      </c>
      <c r="D14" s="109" t="str">
        <v>W_co</v>
      </c>
      <c r="E14" s="110" t="str">
        <v>average liveweight of purchased livestock at point of purchase</v>
      </c>
      <c r="F14" s="112"/>
      <c r="G14" s="109" t="str">
        <v>kg/head</v>
      </c>
      <c r="H14" s="261" t="str">
        <v>Input</v>
      </c>
    </row>
    <row r="15" spans="1:41" ht="20.100000000000001" customHeight="1" x14ac:dyDescent="0.25">
      <c r="A15" s="5" t="str">
        <f>HYPERLINK("#'Input - Fuel'!A1", "Fuel")</f>
        <v>Fuel</v>
      </c>
      <c r="D15" s="109" t="str">
        <v>EF_co</v>
      </c>
      <c r="E15" s="110" t="str">
        <v>emission factor per livestock type and origin</v>
      </c>
      <c r="F15" s="112"/>
      <c r="G15" s="109" t="str">
        <v>kg CO2e/kg</v>
      </c>
      <c r="H15" s="114" t="str">
        <v>Constant</v>
      </c>
    </row>
    <row r="16" spans="1:41" ht="20.100000000000001" customHeight="1" x14ac:dyDescent="0.25">
      <c r="A16" s="5" t="str">
        <f>HYPERLINK("#'Input - Electricity'!A1", "Electricity")</f>
        <v>Electricity</v>
      </c>
      <c r="D16" s="109" t="str">
        <v>c</v>
      </c>
      <c r="E16" s="110" t="str">
        <v>livestock type</v>
      </c>
      <c r="F16" s="112"/>
      <c r="G16" s="109" t="str">
        <v/>
      </c>
      <c r="H16" s="261" t="str">
        <v>Input</v>
      </c>
    </row>
    <row r="17" spans="1:16" ht="20.100000000000001" customHeight="1" x14ac:dyDescent="0.25">
      <c r="A17" s="5" t="str">
        <f>HYPERLINK("#'Input - Farm Inputs'!A1", "Farm Inputs")</f>
        <v>Farm Inputs</v>
      </c>
      <c r="D17" s="109" t="str">
        <v>o</v>
      </c>
      <c r="E17" s="110" t="str">
        <v>origin</v>
      </c>
      <c r="F17" s="112"/>
      <c r="G17" s="109" t="str">
        <v/>
      </c>
      <c r="H17" s="261" t="str">
        <v>Input</v>
      </c>
    </row>
    <row r="18" spans="1:16" ht="20.100000000000001" customHeight="1" x14ac:dyDescent="0.25">
      <c r="A18" s="5" t="str">
        <f>HYPERLINK("#'Input - Freight'!A1", "Freight")</f>
        <v>Freight</v>
      </c>
    </row>
    <row r="19" spans="1:16" ht="20.100000000000001" customHeight="1" x14ac:dyDescent="0.25">
      <c r="A19" s="5" t="str">
        <f>HYPERLINK("#'Input - Manure sent off-site'!A1", "Manure sent off-site")</f>
        <v>Manure sent off-site</v>
      </c>
      <c r="D19" s="46" t="s">
        <v>1051</v>
      </c>
      <c r="E19" s="48"/>
      <c r="F19" s="49"/>
    </row>
    <row r="20" spans="1:16" ht="20.100000000000001" customHeight="1" x14ac:dyDescent="0.25">
      <c r="A20" s="5" t="str">
        <f>HYPERLINK("#'Input - Solid waste'!A1", "Solid waste")</f>
        <v>Solid waste</v>
      </c>
    </row>
    <row r="21" spans="1:16" ht="20.100000000000001" customHeight="1" x14ac:dyDescent="0.25">
      <c r="A21"/>
      <c r="D21" s="249" t="s">
        <v>1052</v>
      </c>
    </row>
    <row r="22" spans="1:16" ht="20.100000000000001" customHeight="1" x14ac:dyDescent="0.25">
      <c r="A22"/>
      <c r="D22" s="119" t="s">
        <v>1053</v>
      </c>
      <c r="E22" s="262" t="s">
        <v>1054</v>
      </c>
      <c r="F22" s="262" t="s">
        <v>1055</v>
      </c>
      <c r="G22" s="262" t="s">
        <v>1056</v>
      </c>
      <c r="H22" s="262" t="s">
        <v>1057</v>
      </c>
      <c r="I22" s="118" t="s">
        <v>1058</v>
      </c>
      <c r="J22" s="118" t="s">
        <v>1059</v>
      </c>
      <c r="K22" s="262" t="s">
        <v>1060</v>
      </c>
      <c r="L22" s="119" t="s">
        <v>1061</v>
      </c>
      <c r="M22" s="118" t="s">
        <v>1062</v>
      </c>
      <c r="N22" s="119" t="s">
        <v>1063</v>
      </c>
      <c r="O22" s="119" t="s">
        <v>1064</v>
      </c>
      <c r="P22" s="119" t="s">
        <v>1065</v>
      </c>
    </row>
    <row r="23" spans="1:16" ht="20.100000000000001" customHeight="1" x14ac:dyDescent="0.25">
      <c r="A23" s="6" t="s">
        <v>2</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1066</v>
      </c>
      <c r="O23" s="23" t="s">
        <v>1067</v>
      </c>
      <c r="P23" s="248" t="s">
        <v>1068</v>
      </c>
    </row>
    <row r="24" spans="1:16" ht="20.100000000000001" customHeight="1" x14ac:dyDescent="0.25">
      <c r="A24" s="5" t="str">
        <f>HYPERLINK("#'3.2.1.1-2 Enteric Methane'!A1", "3.2.1.1-2 Enteric methane")</f>
        <v>3.2.1.1-2 Enteric methane</v>
      </c>
      <c r="D24" s="25">
        <v>0</v>
      </c>
      <c r="E24" s="25">
        <v>0</v>
      </c>
      <c r="F24" s="25" t="str">
        <v/>
      </c>
      <c r="G24" s="25">
        <v>0</v>
      </c>
      <c r="H24" s="25">
        <v>0</v>
      </c>
      <c r="I24" s="25" cm="1">
        <f t="array" ref="I24">Common_InputFunctions.Utility_LookupValueInTableTwoColumns(E24,F24,Table_SourceData_Scope3_Animals[Product],Table_SourceData_Scope3_Animals[Region of origin],Table_SourceData_Scope3_Animals[AusLCI Emissions intensity], 0)</f>
        <v>0</v>
      </c>
      <c r="J24" s="263" cm="1">
        <f t="array" ref="J24">Scope3_Equations.VEERG_15_1_1_1__1_EmissionsFromPurchasedLivestock(G24,H24,I24)</f>
        <v>0</v>
      </c>
      <c r="K24" s="25">
        <v>0</v>
      </c>
      <c r="L24" s="86">
        <v>13</v>
      </c>
      <c r="M24" s="263" cm="1">
        <f t="array" ref="M24">Scope3_Equations.VEERG_15_1_1_1__1_EmissionsFromPurchasedLivestock(G24,K24,IF(L24, L24, I24))</f>
        <v>0</v>
      </c>
      <c r="N24" s="44"/>
      <c r="O24" s="23"/>
      <c r="P24" s="44"/>
    </row>
    <row r="25" spans="1:16" ht="20.100000000000001" customHeight="1" x14ac:dyDescent="0.25">
      <c r="A25" s="5" t="str">
        <f>HYPERLINK("#'4.2.1.1-2 Methane'!A1", "4.2.1.1-2 Manure methane")</f>
        <v>4.2.1.1-2 Manure methane</v>
      </c>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s="5" t="str">
        <f>HYPERLINK("#'4.2.1.3-4 Soil direct N20'!A1", "4.2.1.3-4 Soil direct N2O")</f>
        <v>4.2.1.3-4 Soil direct N2O</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5" t="str">
        <f>HYPERLINK("#'4.2.1.5-6 Soil Atmos Dep'!A1", "4.2.1.5-6 Soil atm. deposition")</f>
        <v>4.2.1.5-6 Soil atm. deposition</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HYPERLINK("#'4.2.1.7-8 Soil leach runoff'!A1", "4.2.1.7-8 Soil leach &amp; runoff")</f>
        <v>4.2.1.7-8 Soil leach &amp; runoff</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HYPERLINK("#'5.1.1.1-2 Inorganic fert N2O'!A1", "5.1.1.1-2 Inorganic fert N2O")</f>
        <v>5.1.1.1-2 Inorganic fert N2O</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HYPERLINK("#'5.1.1.3-4 Inorganic fert CO2'!A1", "5.1.1.3-4 Inorganic fert CO2")</f>
        <v>5.1.1.3-4 Inorganic fert CO2</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HYPERLINK("#'5.2.1.1-2 Organic Fert N2O'!A1", "5.2.1.1-2 Organic fert N2O")</f>
        <v>5.2.1.1-2 Organic fert N2O</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HYPERLINK("#'5.3.1.1-2 Lime CO2'!A1", "5.3.1.1-2 Lime CO2")</f>
        <v>5.3.1.1-2 Lime CO2</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HYPERLINK("#'5.4.1.1-4 Atmos deposition'!A1", "5.4.1.1-4 Atmos. deposition")</f>
        <v>5.4.1.1-4 Atmos. deposition</v>
      </c>
    </row>
    <row r="34" spans="1:13" ht="20.100000000000001" customHeight="1" x14ac:dyDescent="0.25">
      <c r="A34" s="5" t="str">
        <f>HYPERLINK("#'5.5.1.1-2 Leaching and runoff'!A1", "5.5.1.1-2 Leaching &amp; runoff")</f>
        <v>5.5.1.1-2 Leaching &amp; runoff</v>
      </c>
      <c r="D34" s="132" t="s">
        <v>1069</v>
      </c>
      <c r="E34" s="120">
        <f>SUM(J23:J32)</f>
        <v>436.8</v>
      </c>
      <c r="F34" s="127" t="str">
        <f>$E$11</f>
        <v>t CO2e</v>
      </c>
    </row>
    <row r="35" spans="1:13" ht="20.100000000000001" customHeight="1" x14ac:dyDescent="0.25">
      <c r="A35" s="5" t="str">
        <f>HYPERLINK("#'6.2.1.1-2 Pasture residue N2O'!A1", "6.2.1.1-2 Pasture residue N2O")</f>
        <v>6.2.1.1-2 Pasture residue N2O</v>
      </c>
      <c r="D35" s="132" t="s">
        <v>1070</v>
      </c>
      <c r="E35" s="120">
        <f>SUM(M23:M32)</f>
        <v>410</v>
      </c>
      <c r="F35" s="127" t="str">
        <f>$E$11</f>
        <v>t CO2e</v>
      </c>
    </row>
    <row r="36" spans="1:13" ht="20.100000000000001" customHeight="1" x14ac:dyDescent="0.25">
      <c r="A36" s="5" t="str">
        <f>HYPERLINK("#'6.3.1.1-2 Leach runoff pasture'!A1", "6.3.1.1-2 Leach &amp; runoff (pasture)")</f>
        <v>6.3.1.1-2 Leach &amp; runoff (pasture)</v>
      </c>
    </row>
    <row r="37" spans="1:13" ht="20.100000000000001" customHeight="1" x14ac:dyDescent="0.25">
      <c r="A37" s="5" t="str">
        <f>HYPERLINK("#'8.1.1.1-2 Transport fuel'!A1", "8.1.1.1-2 Transport fuel")</f>
        <v>8.1.1.1-2 Transport fuel</v>
      </c>
    </row>
    <row r="38" spans="1:13" ht="20.100000000000001" customHeight="1" x14ac:dyDescent="0.25">
      <c r="A38" s="5" t="str">
        <f>HYPERLINK("#'8.2.1.1-2 Stationary fuel'!A1", "8.2.1.1-2 Stationary fuel")</f>
        <v>8.2.1.1-2 Stationary fuel</v>
      </c>
      <c r="D38" s="249" t="s">
        <v>1071</v>
      </c>
    </row>
    <row r="39" spans="1:13" ht="20.100000000000001" customHeight="1" x14ac:dyDescent="0.25">
      <c r="A39" s="5" t="str">
        <f>HYPERLINK("#'14.1.1-2 Purchased electricity'!A1", "14.1.1-2 Purchased electricity")</f>
        <v>14.1.1-2 Purchased electricity</v>
      </c>
      <c r="D39" s="109" t="s">
        <v>1072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108" t="str">
        <f>HYPERLINK("#'15 Scope 3'!A1", "15 Scope 3")</f>
        <v>15 Scope 3</v>
      </c>
    </row>
    <row r="41" spans="1:13" ht="20.100000000000001" customHeight="1" x14ac:dyDescent="0.25">
      <c r="A41" s="5" t="str">
        <f>HYPERLINK("#'Calcs - Manure sent off-site'!A1", "Calcs - Manure sent off-site")</f>
        <v>Calcs - Manure sent off-site</v>
      </c>
      <c r="D41" s="119" t="s">
        <v>1053</v>
      </c>
      <c r="E41" s="262" t="s">
        <v>1056</v>
      </c>
      <c r="F41" s="262" t="s">
        <v>1057</v>
      </c>
      <c r="G41" s="118" t="s">
        <v>1059</v>
      </c>
      <c r="H41" s="262" t="s">
        <v>1060</v>
      </c>
      <c r="I41" s="119" t="s">
        <v>1061</v>
      </c>
      <c r="J41" s="118" t="s">
        <v>1062</v>
      </c>
      <c r="K41" s="119" t="s">
        <v>1063</v>
      </c>
      <c r="L41" s="119" t="s">
        <v>1064</v>
      </c>
      <c r="M41" s="119" t="s">
        <v>1065</v>
      </c>
    </row>
    <row r="42" spans="1:13" ht="20.100000000000001" customHeight="1" x14ac:dyDescent="0.25">
      <c r="A42" s="5" t="str">
        <f>HYPERLINK("#'10.1.1-2 Solid waste treatment'!A1", "10.1.1-2 Solid waste treatment")</f>
        <v>10.1.1-2 Solid waste treatment</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1066</v>
      </c>
      <c r="L42" s="23" t="s">
        <v>1067</v>
      </c>
      <c r="M42" s="248" t="s">
        <v>1068</v>
      </c>
    </row>
    <row r="43" spans="1:13" ht="20.100000000000001" customHeight="1" x14ac:dyDescent="0.25">
      <c r="A43"/>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94" t="s">
        <v>1</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s="5" t="str">
        <f>HYPERLINK("#'Constants - Pasture Beef'!A1", "Constants - Pasture Beef")</f>
        <v>Constants - Pasture Beef</v>
      </c>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s="5" t="str">
        <f>HYPERLINK("#'Constants - Ag Residue'!A1", "Constants - Ag residue")</f>
        <v>Constants - Ag residue</v>
      </c>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s="5" t="str">
        <f>HYPERLINK("#'Constants - Common Livestock'!A1", "Constants - Common Livestock")</f>
        <v>Constants - Common Livestock</v>
      </c>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5" t="str">
        <f>HYPERLINK("#'Constants - Electricity'!A1", "Constants - Electricity")</f>
        <v>Constants - Electricity</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Fertiliser'!A1", "Constants - Fertiliser")</f>
        <v>Constants - Fertiliser</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Fuel'!A1", "Constants - Fuel")</f>
        <v>Constants - Fuel</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Scope 3'!A1", "Constants - Scope 3")</f>
        <v>Constants - Scope 3</v>
      </c>
    </row>
    <row r="53" spans="1:13" ht="20.100000000000001" customHeight="1" x14ac:dyDescent="0.25">
      <c r="A53" s="5" t="str">
        <f>HYPERLINK("#'Constants - Common'!A1", "Constants - Common")</f>
        <v>Constants - Common</v>
      </c>
      <c r="D53" s="132" t="s">
        <v>1073</v>
      </c>
      <c r="E53" s="120">
        <f>SUM(G42:G51)</f>
        <v>0</v>
      </c>
      <c r="F53" s="127" t="str">
        <f>$E$11</f>
        <v>t CO2e</v>
      </c>
    </row>
    <row r="54" spans="1:13" ht="20.100000000000001" customHeight="1" x14ac:dyDescent="0.25">
      <c r="A54" s="5" t="str">
        <f>HYPERLINK("#'Acknowledgements'!A1", "Acknowledgements")</f>
        <v>Acknowledgements</v>
      </c>
      <c r="D54" s="132" t="s">
        <v>1074</v>
      </c>
      <c r="E54" s="120">
        <f>SUM(J42:J51)</f>
        <v>0</v>
      </c>
      <c r="F54" s="127" t="str">
        <f>$E$11</f>
        <v>t CO2e</v>
      </c>
    </row>
    <row r="55" spans="1:13" ht="20.100000000000001" customHeight="1" x14ac:dyDescent="0.25">
      <c r="A55" s="5" t="str">
        <f>HYPERLINK("#'Constants - Solid Waste'!A1", "Constants - Solid Waste")</f>
        <v>Constants - Solid Waste</v>
      </c>
    </row>
    <row r="56" spans="1:13" ht="20.100000000000001" customHeight="1" x14ac:dyDescent="0.25">
      <c r="A56"/>
    </row>
    <row r="57" spans="1:13" ht="20.100000000000001" customHeight="1" x14ac:dyDescent="0.25">
      <c r="A57"/>
      <c r="D57" s="249" t="s">
        <v>1075</v>
      </c>
    </row>
    <row r="58" spans="1:13" ht="20.100000000000001" customHeight="1" x14ac:dyDescent="0.25">
      <c r="A58"/>
      <c r="D58" s="109" t="s">
        <v>1072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9" t="s">
        <v>1053</v>
      </c>
      <c r="E60" s="262" t="s">
        <v>1056</v>
      </c>
      <c r="F60" s="262" t="s">
        <v>1057</v>
      </c>
      <c r="G60" s="118" t="s">
        <v>1059</v>
      </c>
      <c r="H60" s="262" t="s">
        <v>1060</v>
      </c>
      <c r="I60" s="119" t="s">
        <v>1061</v>
      </c>
      <c r="J60" s="118" t="s">
        <v>1062</v>
      </c>
      <c r="K60" s="119" t="s">
        <v>1063</v>
      </c>
      <c r="L60" s="119" t="s">
        <v>1064</v>
      </c>
      <c r="M60" s="119" t="s">
        <v>1065</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8"/>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32" t="s">
        <v>1076</v>
      </c>
      <c r="E72" s="120">
        <f>SUM(G61:G70)</f>
        <v>0</v>
      </c>
      <c r="F72" s="127" t="str">
        <f>$E$11</f>
        <v>t CO2e</v>
      </c>
    </row>
    <row r="73" spans="1:13" ht="20.100000000000001" customHeight="1" x14ac:dyDescent="0.25">
      <c r="A73"/>
      <c r="D73" s="132" t="s">
        <v>1077</v>
      </c>
      <c r="E73" s="120">
        <f>SUM(J61:J70)</f>
        <v>0</v>
      </c>
      <c r="F73" s="127" t="str">
        <f>$E$11</f>
        <v>t CO2e</v>
      </c>
    </row>
    <row r="74" spans="1:13" ht="20.100000000000001" customHeight="1" x14ac:dyDescent="0.25">
      <c r="A74"/>
    </row>
    <row r="75" spans="1:13" ht="20.100000000000001" customHeight="1" x14ac:dyDescent="0.25">
      <c r="A75"/>
      <c r="D75" s="249" t="s">
        <v>1078</v>
      </c>
    </row>
    <row r="76" spans="1:13" ht="20.100000000000001" customHeight="1" x14ac:dyDescent="0.25">
      <c r="A76"/>
      <c r="D76" s="109" t="s">
        <v>1072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9" t="s">
        <v>1053</v>
      </c>
      <c r="E78" s="262" t="s">
        <v>1056</v>
      </c>
      <c r="F78" s="262" t="s">
        <v>1057</v>
      </c>
      <c r="G78" s="118" t="s">
        <v>1059</v>
      </c>
      <c r="H78" s="262" t="s">
        <v>1060</v>
      </c>
      <c r="I78" s="119" t="s">
        <v>1061</v>
      </c>
      <c r="J78" s="118" t="s">
        <v>1062</v>
      </c>
      <c r="K78" s="119" t="s">
        <v>1063</v>
      </c>
      <c r="L78" s="119" t="s">
        <v>1064</v>
      </c>
      <c r="M78" s="119" t="s">
        <v>1065</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8"/>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32" t="s">
        <v>1079</v>
      </c>
      <c r="E90" s="120">
        <f>SUM(G79:G88)</f>
        <v>0</v>
      </c>
      <c r="F90" s="127" t="str">
        <f>$E$11</f>
        <v>t CO2e</v>
      </c>
    </row>
    <row r="91" spans="1:13" ht="20.100000000000001" customHeight="1" x14ac:dyDescent="0.25">
      <c r="A91"/>
      <c r="D91" s="132" t="s">
        <v>1080</v>
      </c>
      <c r="E91" s="120">
        <f>SUM(J79:J88)</f>
        <v>0</v>
      </c>
      <c r="F91" s="127" t="str">
        <f>$E$11</f>
        <v>t CO2e</v>
      </c>
    </row>
    <row r="92" spans="1:13" ht="20.100000000000001" customHeight="1" x14ac:dyDescent="0.25">
      <c r="A92"/>
    </row>
    <row r="93" spans="1:13" ht="20.100000000000001" customHeight="1" x14ac:dyDescent="0.25">
      <c r="A93"/>
      <c r="D93" s="121" t="s">
        <v>1059</v>
      </c>
      <c r="E93" s="122">
        <f>E34+E53+E72+E90</f>
        <v>436.8</v>
      </c>
      <c r="F93" s="123" t="str">
        <f>$E$11</f>
        <v>t CO2e</v>
      </c>
    </row>
    <row r="94" spans="1:13" ht="20.100000000000001" customHeight="1" x14ac:dyDescent="0.25">
      <c r="A94"/>
      <c r="D94" s="121" t="s">
        <v>1062</v>
      </c>
      <c r="E94" s="122">
        <f>E35+E54+E73+E91</f>
        <v>410</v>
      </c>
      <c r="F94" s="123" t="str">
        <f>$E$11</f>
        <v>t CO2e</v>
      </c>
    </row>
    <row r="95" spans="1:13" ht="20.100000000000001" customHeight="1" x14ac:dyDescent="0.25">
      <c r="A95"/>
    </row>
    <row r="96" spans="1:13" ht="20.100000000000001" customHeight="1" x14ac:dyDescent="0.25">
      <c r="A96"/>
    </row>
    <row r="97" spans="1:41" ht="20.100000000000001" customHeight="1" x14ac:dyDescent="0.25">
      <c r="A97"/>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c r="AA97" s="120"/>
      <c r="AB97" s="120"/>
      <c r="AC97" s="120"/>
      <c r="AD97" s="120"/>
      <c r="AE97" s="120"/>
      <c r="AF97" s="120"/>
      <c r="AG97" s="120"/>
      <c r="AH97" s="120"/>
      <c r="AI97" s="120"/>
      <c r="AJ97" s="120"/>
      <c r="AK97" s="120"/>
      <c r="AL97" s="120"/>
      <c r="AM97" s="120"/>
      <c r="AN97" s="120"/>
      <c r="AO97" s="12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7" t="s">
        <v>258</v>
      </c>
      <c r="E100" s="107"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7"/>
    </row>
    <row r="103" spans="1:41" ht="20.100000000000001" customHeight="1" x14ac:dyDescent="0.25">
      <c r="A103"/>
      <c r="D103" s="88" t="s">
        <v>260</v>
      </c>
      <c r="E103" s="1" t="str" cm="1">
        <f t="array" ref="E103">Scope3_Equations.VEERG_15_2_1_1__1_EmissionsFromPurchasedFeed_Variable()</f>
        <v>E</v>
      </c>
    </row>
    <row r="104" spans="1:41" ht="20.100000000000001" customHeight="1" x14ac:dyDescent="0.25">
      <c r="A104"/>
      <c r="D104" s="88" t="s">
        <v>132</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9" t="str" cm="1">
        <f t="array" ref="D106:E108">_xlfn.CHOOSECOLS(Scope3_Equations.VEERG_15_2_1_1__1_EmissionsFromPurchasedFeed_Arguments(),1,2)</f>
        <v>Q_j</v>
      </c>
      <c r="E106" s="110" t="str">
        <v>quantity of feed type j purchased</v>
      </c>
      <c r="F106" s="112"/>
      <c r="G106" s="109" t="str" cm="1">
        <f t="array" ref="G106:H108">_xlfn.CHOOSECOLS(Scope3_Equations.VEERG_15_2_1_1__1_EmissionsFromPurchasedFeed_Arguments(),3,4)</f>
        <v>t</v>
      </c>
      <c r="H106" s="261" t="str">
        <v>Input</v>
      </c>
    </row>
    <row r="107" spans="1:41" ht="20.100000000000001" customHeight="1" x14ac:dyDescent="0.25">
      <c r="A107"/>
      <c r="D107" s="109" t="str">
        <v>EF_j</v>
      </c>
      <c r="E107" s="110" t="str">
        <v>emission factor of purchased feed</v>
      </c>
      <c r="F107" s="112"/>
      <c r="G107" s="109" t="str">
        <v>kg CO2e/kg</v>
      </c>
      <c r="H107" s="261" t="str">
        <v>Constant</v>
      </c>
    </row>
    <row r="108" spans="1:41" ht="20.100000000000001" customHeight="1" x14ac:dyDescent="0.25">
      <c r="A108"/>
      <c r="D108" s="109" t="str">
        <v>j</v>
      </c>
      <c r="E108" s="110" t="str">
        <v>feed type</v>
      </c>
      <c r="F108" s="112"/>
      <c r="G108" s="109" t="str">
        <v/>
      </c>
      <c r="H108" s="114" t="str">
        <v>Input</v>
      </c>
    </row>
    <row r="109" spans="1:41" ht="20.100000000000001" customHeight="1" x14ac:dyDescent="0.25">
      <c r="A109"/>
    </row>
    <row r="110" spans="1:41" ht="20.100000000000001" customHeight="1" x14ac:dyDescent="0.25">
      <c r="A110"/>
      <c r="D110" s="249" t="s">
        <v>1081</v>
      </c>
    </row>
    <row r="111" spans="1:41" ht="20.100000000000001" customHeight="1" x14ac:dyDescent="0.25">
      <c r="A111"/>
    </row>
    <row r="112" spans="1:41" ht="20.100000000000001" customHeight="1" x14ac:dyDescent="0.25">
      <c r="A112"/>
      <c r="D112" s="137" t="s">
        <v>1082</v>
      </c>
      <c r="E112" s="55"/>
      <c r="F112" s="137"/>
      <c r="G112" s="54"/>
      <c r="H112" s="55"/>
    </row>
    <row r="113" spans="1:28" ht="20.100000000000001" customHeight="1" x14ac:dyDescent="0.25">
      <c r="A113"/>
      <c r="D113" s="161" t="s">
        <v>1083</v>
      </c>
      <c r="E113" s="163"/>
      <c r="F113" s="161"/>
      <c r="G113" s="162"/>
      <c r="H113" s="163"/>
    </row>
    <row r="114" spans="1:28" ht="20.100000000000001" customHeight="1" x14ac:dyDescent="0.25">
      <c r="A114"/>
      <c r="D114" s="56" t="s">
        <v>1084</v>
      </c>
      <c r="E114" s="58"/>
      <c r="F114" s="56"/>
      <c r="G114" s="57"/>
      <c r="H114" s="58"/>
    </row>
    <row r="115" spans="1:28" ht="20.100000000000001" customHeight="1" x14ac:dyDescent="0.25">
      <c r="A115"/>
    </row>
    <row r="116" spans="1:28" ht="20.100000000000001" customHeight="1" x14ac:dyDescent="0.25">
      <c r="A116"/>
      <c r="D116" s="46" t="s">
        <v>1085</v>
      </c>
      <c r="E116" s="48"/>
      <c r="F116" s="49"/>
    </row>
    <row r="117" spans="1:28" ht="20.100000000000001" customHeight="1" x14ac:dyDescent="0.25">
      <c r="A117"/>
    </row>
    <row r="118" spans="1:28" ht="20.100000000000001" customHeight="1" x14ac:dyDescent="0.25">
      <c r="A118"/>
      <c r="D118" s="119" t="s">
        <v>1086</v>
      </c>
      <c r="E118" s="119" t="s">
        <v>1087</v>
      </c>
      <c r="F118" s="118" t="s">
        <v>1088</v>
      </c>
      <c r="G118" s="118" t="s">
        <v>1059</v>
      </c>
      <c r="H118" s="119" t="s">
        <v>1089</v>
      </c>
      <c r="I118" s="118" t="s">
        <v>1062</v>
      </c>
      <c r="J118" s="119" t="s">
        <v>1063</v>
      </c>
      <c r="K118" s="119" t="s">
        <v>1064</v>
      </c>
      <c r="L118" s="119" t="s">
        <v>1065</v>
      </c>
      <c r="M118" s="118" t="s">
        <v>481</v>
      </c>
      <c r="N118" s="118" t="s">
        <v>1090</v>
      </c>
      <c r="O118" s="118" t="s">
        <v>482</v>
      </c>
      <c r="P118" s="118" t="s">
        <v>1091</v>
      </c>
      <c r="Q118" s="118" t="s">
        <v>483</v>
      </c>
      <c r="R118" s="118" t="s">
        <v>1092</v>
      </c>
      <c r="S118" s="118" t="s">
        <v>484</v>
      </c>
      <c r="T118" s="118" t="s">
        <v>1093</v>
      </c>
      <c r="U118" s="118" t="s">
        <v>485</v>
      </c>
      <c r="V118" s="118" t="s">
        <v>1094</v>
      </c>
      <c r="W118" s="118" t="s">
        <v>486</v>
      </c>
      <c r="X118" s="118" t="s">
        <v>1095</v>
      </c>
      <c r="Y118" s="118" t="s">
        <v>487</v>
      </c>
      <c r="Z118" s="118" t="s">
        <v>1096</v>
      </c>
      <c r="AA118" s="118" t="s">
        <v>488</v>
      </c>
      <c r="AB118" s="118" t="s">
        <v>1097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63" cm="1">
        <f t="array" ref="G119">Scope3_Equations.VEERG_15_2_1_1__1_EmissionsFromPurchasedFeed(E119,F119)</f>
        <v>29.651999999999994</v>
      </c>
      <c r="H119" s="86">
        <v>0.04</v>
      </c>
      <c r="I119" s="263" cm="1">
        <f t="array" ref="I119">Scope3_Equations.VEERG_15_2_1_1__1_EmissionsFromPurchasedFeed(E119,IF(H119,H119, F119))</f>
        <v>48</v>
      </c>
      <c r="J119" s="44"/>
      <c r="K119" s="23"/>
      <c r="L119" s="24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63" cm="1">
        <f t="array" ref="G120">Scope3_Equations.VEERG_15_2_1_1__1_EmissionsFromPurchasedFeed(E120,F120)</f>
        <v>0</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63" cm="1">
        <f t="array" ref="G121">Scope3_Equations.VEERG_15_2_1_1__1_EmissionsFromPurchasedFeed(E121,F121)</f>
        <v>0</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32" t="s">
        <v>1059</v>
      </c>
      <c r="E130" s="120">
        <f>SUM(G119:G128)</f>
        <v>202.15199999999999</v>
      </c>
      <c r="F130" s="127" t="str">
        <f>$E$104</f>
        <v>t CO2e</v>
      </c>
    </row>
    <row r="131" spans="1:12" ht="20.100000000000001" customHeight="1" x14ac:dyDescent="0.25">
      <c r="A131"/>
      <c r="D131" s="132" t="s">
        <v>1062</v>
      </c>
      <c r="E131" s="120">
        <f>SUM(I119:I128)</f>
        <v>366.18</v>
      </c>
      <c r="F131" s="127"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9" t="s">
        <v>977</v>
      </c>
    </row>
    <row r="135" spans="1:12" ht="20.100000000000001" customHeight="1" x14ac:dyDescent="0.25">
      <c r="A135"/>
      <c r="D135" s="119" t="s">
        <v>155</v>
      </c>
      <c r="E135" s="119" t="s">
        <v>1087</v>
      </c>
      <c r="F135" s="118" t="s">
        <v>1088</v>
      </c>
      <c r="G135" s="118" t="s">
        <v>1059</v>
      </c>
      <c r="H135" s="119" t="s">
        <v>1089</v>
      </c>
      <c r="I135" s="118" t="s">
        <v>1062</v>
      </c>
      <c r="J135" s="119" t="s">
        <v>1063</v>
      </c>
      <c r="K135" s="119" t="s">
        <v>1064</v>
      </c>
      <c r="L135" s="119" t="s">
        <v>1065</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32" t="s">
        <v>1059</v>
      </c>
      <c r="E141" s="120">
        <f>SUM(G136:G139)</f>
        <v>174.9</v>
      </c>
      <c r="F141" s="127" t="str">
        <f>$E$104</f>
        <v>t CO2e</v>
      </c>
    </row>
    <row r="142" spans="1:12" ht="20.100000000000001" customHeight="1" x14ac:dyDescent="0.25">
      <c r="A142"/>
      <c r="D142" s="132" t="s">
        <v>1062</v>
      </c>
      <c r="E142" s="120">
        <f>SUM(I136:I139)</f>
        <v>163.60000000000002</v>
      </c>
      <c r="F142" s="127" t="str">
        <f>$E$104</f>
        <v>t CO2e</v>
      </c>
    </row>
    <row r="143" spans="1:12" ht="20.100000000000001" customHeight="1" x14ac:dyDescent="0.25">
      <c r="A143"/>
    </row>
    <row r="144" spans="1:12" ht="20.100000000000001" customHeight="1" x14ac:dyDescent="0.25">
      <c r="A144"/>
      <c r="D144" s="121" t="s">
        <v>1059</v>
      </c>
      <c r="E144" s="122">
        <f>E130+E141</f>
        <v>377.05200000000002</v>
      </c>
      <c r="F144" s="123" t="str">
        <f>$E$104</f>
        <v>t CO2e</v>
      </c>
    </row>
    <row r="145" spans="1:41" ht="20.100000000000001" customHeight="1" x14ac:dyDescent="0.25">
      <c r="A145"/>
      <c r="D145" s="121" t="s">
        <v>1062</v>
      </c>
      <c r="E145" s="122">
        <f>E131+E142</f>
        <v>529.78</v>
      </c>
      <c r="F145" s="123"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c r="AA148" s="120"/>
      <c r="AB148" s="120"/>
      <c r="AC148" s="120"/>
      <c r="AD148" s="120"/>
      <c r="AE148" s="120"/>
      <c r="AF148" s="120"/>
      <c r="AG148" s="120"/>
      <c r="AH148" s="120"/>
      <c r="AI148" s="120"/>
      <c r="AJ148" s="120"/>
      <c r="AK148" s="120"/>
      <c r="AL148" s="120"/>
      <c r="AM148" s="120"/>
      <c r="AN148" s="120"/>
      <c r="AO148" s="12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7" t="s">
        <v>258</v>
      </c>
      <c r="E151" s="107"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7"/>
    </row>
    <row r="154" spans="1:41" ht="20.100000000000001" customHeight="1" x14ac:dyDescent="0.25">
      <c r="A154"/>
      <c r="D154" s="88" t="s">
        <v>260</v>
      </c>
      <c r="E154" s="1" t="str" cm="1">
        <f t="array" ref="E154">Scope3_Equations.VEERG_15_3_1_1__1_EmissionsFromPurchasedMineralSupplements_Variable()</f>
        <v>E</v>
      </c>
    </row>
    <row r="155" spans="1:41" ht="20.100000000000001" customHeight="1" x14ac:dyDescent="0.25">
      <c r="A155"/>
      <c r="D155" s="88" t="s">
        <v>132</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9" t="str" cm="1">
        <f t="array" ref="D157:E159">_xlfn.CHOOSECOLS(Scope3_Equations.VEERG_15_3_1_1__1_EmissionsFromPurchasedMineralSupplements_Arguments(),1,2)</f>
        <v>Q_m</v>
      </c>
      <c r="E157" s="110" t="str">
        <v>total quantity of mineral supplement type m used</v>
      </c>
      <c r="F157" s="112"/>
      <c r="G157" s="109" t="str" cm="1">
        <f t="array" ref="G157:H159">_xlfn.CHOOSECOLS(Scope3_Equations.VEERG_15_3_1_1__1_EmissionsFromPurchasedMineralSupplements_Arguments(),3,4)</f>
        <v>t</v>
      </c>
      <c r="H157" s="261" t="str">
        <v>Input</v>
      </c>
    </row>
    <row r="158" spans="1:41" ht="20.100000000000001" customHeight="1" x14ac:dyDescent="0.25">
      <c r="A158"/>
      <c r="D158" s="109" t="str">
        <v>EF_m</v>
      </c>
      <c r="E158" s="110" t="str">
        <v>emission factor of purchased mineral supplement</v>
      </c>
      <c r="F158" s="112"/>
      <c r="G158" s="109" t="str">
        <v>kg CO2e/kg</v>
      </c>
      <c r="H158" s="261" t="str">
        <v>Constant</v>
      </c>
    </row>
    <row r="159" spans="1:41" ht="20.100000000000001" customHeight="1" x14ac:dyDescent="0.25">
      <c r="A159"/>
      <c r="D159" s="109" t="str">
        <v>m</v>
      </c>
      <c r="E159" s="110" t="str">
        <v>mineral supplement type</v>
      </c>
      <c r="F159" s="112"/>
      <c r="G159" s="109" t="str">
        <v/>
      </c>
      <c r="H159" s="114" t="str">
        <v>Input</v>
      </c>
    </row>
    <row r="160" spans="1:41" ht="20.100000000000001" customHeight="1" x14ac:dyDescent="0.25">
      <c r="A160"/>
    </row>
    <row r="161" spans="3:41" ht="20.100000000000001" customHeight="1" x14ac:dyDescent="0.25">
      <c r="D161" s="119" t="s">
        <v>155</v>
      </c>
      <c r="E161" s="119" t="s">
        <v>1098</v>
      </c>
      <c r="F161" s="118" t="s">
        <v>1099</v>
      </c>
      <c r="G161" s="118" t="s">
        <v>1059</v>
      </c>
      <c r="H161" s="119" t="s">
        <v>1100</v>
      </c>
      <c r="I161" s="118" t="s">
        <v>1062</v>
      </c>
      <c r="J161" s="119" t="s">
        <v>1063</v>
      </c>
      <c r="K161" s="119" t="s">
        <v>1064</v>
      </c>
      <c r="L161" s="119" t="s">
        <v>1065</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21" t="s">
        <v>1059</v>
      </c>
      <c r="E166" s="122">
        <f>SUM(G162:G164)</f>
        <v>178.9</v>
      </c>
      <c r="F166" s="123" t="str">
        <f>$E$155</f>
        <v>t CO2e</v>
      </c>
    </row>
    <row r="167" spans="3:41" ht="20.100000000000001" customHeight="1" x14ac:dyDescent="0.25">
      <c r="D167" s="121" t="s">
        <v>1062</v>
      </c>
      <c r="E167" s="122">
        <f>SUM(I162:I164)</f>
        <v>160</v>
      </c>
      <c r="F167" s="123" t="str">
        <f>$E$155</f>
        <v>t CO2e</v>
      </c>
    </row>
    <row r="168" spans="3:41" ht="20.100000000000001" customHeight="1" x14ac:dyDescent="0.25"/>
    <row r="169" spans="3:41" ht="20.100000000000001" customHeight="1" x14ac:dyDescent="0.25"/>
    <row r="170" spans="3:41" ht="20.100000000000001" customHeight="1" x14ac:dyDescent="0.25">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c r="AB170" s="120"/>
      <c r="AC170" s="120"/>
      <c r="AD170" s="120"/>
      <c r="AE170" s="120"/>
      <c r="AF170" s="120"/>
      <c r="AG170" s="120"/>
      <c r="AH170" s="120"/>
      <c r="AI170" s="120"/>
      <c r="AJ170" s="120"/>
      <c r="AK170" s="120"/>
      <c r="AL170" s="120"/>
      <c r="AM170" s="120"/>
      <c r="AN170" s="120"/>
      <c r="AO170" s="12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7" t="s">
        <v>258</v>
      </c>
      <c r="E174" s="107"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260</v>
      </c>
      <c r="E177" s="1" t="str" cm="1">
        <f t="array" ref="E177">Scope3_Equations.VEERG_15_4_1_1__X_EmissionFactorFromPurchasedFertiliserComponents_Variable()</f>
        <v>EF_f</v>
      </c>
    </row>
    <row r="178" spans="4:8" ht="20.100000000000001" customHeight="1" x14ac:dyDescent="0.25">
      <c r="D178" s="88" t="s">
        <v>132</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9" t="str" cm="1">
        <f t="array" ref="D180:E183">_xlfn.CHOOSECOLS(Scope3_Equations.VEERG_15_4_1_1__X_EmissionFactorFromPurchasedFertiliserComponents_Arguments(),1,2)</f>
        <v>F_cf</v>
      </c>
      <c r="E180" s="110" t="str">
        <v>fraction of component c contained within the inorganic fertiliser f</v>
      </c>
      <c r="F180" s="112"/>
      <c r="G180" s="109" t="str" cm="1">
        <f t="array" ref="G180:H183">_xlfn.CHOOSECOLS(Scope3_Equations.VEERG_15_4_1_1__X_EmissionFactorFromPurchasedFertiliserComponents_Arguments(),3,4)</f>
        <v>wt%</v>
      </c>
      <c r="H180" s="261" t="str">
        <v>Input</v>
      </c>
    </row>
    <row r="181" spans="4:8" ht="20.100000000000001" customHeight="1" x14ac:dyDescent="0.25">
      <c r="D181" s="109" t="str">
        <v>EF_c</v>
      </c>
      <c r="E181" s="110" t="str">
        <v>emission factor for the production of component c</v>
      </c>
      <c r="F181" s="112"/>
      <c r="G181" s="109" t="str">
        <v>kg CO2e/kg component</v>
      </c>
      <c r="H181" s="114" t="str">
        <v>Constant</v>
      </c>
    </row>
    <row r="182" spans="4:8" ht="20.100000000000001" customHeight="1" x14ac:dyDescent="0.25">
      <c r="D182" s="109" t="str">
        <v>c</v>
      </c>
      <c r="E182" s="110" t="str">
        <v>fertiliser component</v>
      </c>
      <c r="F182" s="112"/>
      <c r="G182" s="109" t="str">
        <v/>
      </c>
      <c r="H182" s="261" t="str">
        <v>Input</v>
      </c>
    </row>
    <row r="183" spans="4:8" ht="20.100000000000001" customHeight="1" x14ac:dyDescent="0.25">
      <c r="D183" s="109" t="str">
        <v>f</v>
      </c>
      <c r="E183" s="110" t="str">
        <v>inorganic fertiliser type</v>
      </c>
      <c r="F183" s="112"/>
      <c r="G183" s="109"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7" t="s">
        <v>258</v>
      </c>
      <c r="E188" s="107"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260</v>
      </c>
      <c r="E191" s="1" t="str" cm="1">
        <f t="array" ref="E191">Scope3_Equations.VEERG_15_4_1_1__1_EmissionsFromPurchasedFertiliser_Variable()</f>
        <v>E</v>
      </c>
    </row>
    <row r="192" spans="4:8" ht="20.100000000000001" customHeight="1" x14ac:dyDescent="0.25">
      <c r="D192" s="88" t="s">
        <v>132</v>
      </c>
      <c r="E192" s="15" t="str" cm="1">
        <f t="array" ref="E192">Scope3_Equations.VEERG_15_4_1_1__1_EmissionsFromPurchasedFertiliser_Unit()</f>
        <v>t CO2e</v>
      </c>
    </row>
    <row r="193" spans="4:8" ht="20.100000000000001" customHeight="1" x14ac:dyDescent="0.25"/>
    <row r="194" spans="4:8" ht="20.100000000000001" customHeight="1" x14ac:dyDescent="0.25">
      <c r="D194" s="109" t="str" cm="1">
        <f t="array" ref="D194:E197">_xlfn.CHOOSECOLS(Scope3_Equations.VEERG_15_4_1_1__1_EmissionsFromPurchasedFertiliser_Arguments(),1,2)</f>
        <v>TM_jf</v>
      </c>
      <c r="E194" s="109" t="str">
        <v>quantity of inorganic fertiliser type f purchased and applied to production system j</v>
      </c>
      <c r="F194" s="109"/>
      <c r="G194" s="109" t="str" cm="1">
        <f t="array" ref="G194:H197">_xlfn.CHOOSECOLS(Scope3_Equations.VEERG_15_4_1_1__1_EmissionsFromPurchasedFertiliser_Arguments(),3,4)</f>
        <v>kg</v>
      </c>
      <c r="H194" s="261" t="str">
        <v>Input</v>
      </c>
    </row>
    <row r="195" spans="4:8" ht="20.100000000000001" customHeight="1" x14ac:dyDescent="0.25">
      <c r="D195" s="109" t="str">
        <v>EF_f</v>
      </c>
      <c r="E195" s="109" t="str">
        <v>emission factor of purchased inorganic fertiliser</v>
      </c>
      <c r="F195" s="109"/>
      <c r="G195" s="109" t="str">
        <v>kg CO2e/kg</v>
      </c>
      <c r="H195" s="114" t="str">
        <v>Constant</v>
      </c>
    </row>
    <row r="196" spans="4:8" ht="20.100000000000001" customHeight="1" x14ac:dyDescent="0.25">
      <c r="D196" s="109" t="str">
        <v>j</v>
      </c>
      <c r="E196" s="109" t="str">
        <v>production system</v>
      </c>
      <c r="F196" s="109"/>
      <c r="G196" s="109" t="str">
        <v/>
      </c>
      <c r="H196" s="261" t="str">
        <v>Input</v>
      </c>
    </row>
    <row r="197" spans="4:8" ht="20.100000000000001" customHeight="1" x14ac:dyDescent="0.25">
      <c r="D197" s="109" t="str">
        <v>f</v>
      </c>
      <c r="E197" s="109" t="str">
        <v>inorganic fertiliser type</v>
      </c>
      <c r="F197" s="109"/>
      <c r="G197" s="109"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7" t="s">
        <v>258</v>
      </c>
      <c r="E203" s="107"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260</v>
      </c>
      <c r="E206" s="1" t="str" cm="1">
        <f t="array" ref="E206">Scope3_Equations.VEERG_15_4_1_1__2_EmissionsFromPurchasedFertiliserComponents_Variable()</f>
        <v>E</v>
      </c>
    </row>
    <row r="207" spans="4:8" ht="20.100000000000001" customHeight="1" x14ac:dyDescent="0.25">
      <c r="D207" s="88" t="s">
        <v>132</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9" t="str" cm="1">
        <f t="array" ref="D209:E214">_xlfn.CHOOSECOLS(Scope3_Equations.VEERG_15_4_1_1__2_EmissionsFromPurchasedFertiliserComponents_Arguments(),1,2)</f>
        <v>F_cf</v>
      </c>
      <c r="E209" s="110" t="str">
        <v>fraction of component c contained within the inorganic fertiliser f</v>
      </c>
      <c r="F209" s="112"/>
      <c r="G209" s="109" t="str" cm="1">
        <f t="array" ref="G209:H214">_xlfn.CHOOSECOLS(Scope3_Equations.VEERG_15_4_1_1__2_EmissionsFromPurchasedFertiliserComponents_Arguments(),3,4)</f>
        <v>wt%</v>
      </c>
      <c r="H209" s="261" t="str">
        <v>Input</v>
      </c>
    </row>
    <row r="210" spans="4:40" ht="20.100000000000001" customHeight="1" x14ac:dyDescent="0.25">
      <c r="D210" s="109" t="str">
        <v>TM_jf</v>
      </c>
      <c r="E210" s="110" t="str">
        <v>quantity of inorganic fertiliser type f purchased and applied to production system j</v>
      </c>
      <c r="F210" s="112"/>
      <c r="G210" s="109" t="str">
        <v>kg</v>
      </c>
      <c r="H210" s="114" t="str">
        <v>Input</v>
      </c>
    </row>
    <row r="211" spans="4:40" ht="20.100000000000001" customHeight="1" x14ac:dyDescent="0.25">
      <c r="D211" s="109" t="str">
        <v>EF_c</v>
      </c>
      <c r="E211" s="110" t="str">
        <v>emission factor for the production of component c</v>
      </c>
      <c r="F211" s="112"/>
      <c r="G211" s="109" t="str">
        <v>kg CO2e/kg component</v>
      </c>
      <c r="H211" s="114" t="str">
        <v>Constant</v>
      </c>
    </row>
    <row r="212" spans="4:40" ht="20.100000000000001" customHeight="1" x14ac:dyDescent="0.25">
      <c r="D212" s="109" t="str">
        <v>c</v>
      </c>
      <c r="E212" s="110" t="str">
        <v>fertiliser component</v>
      </c>
      <c r="F212" s="112"/>
      <c r="G212" s="109" t="str">
        <v/>
      </c>
      <c r="H212" s="261" t="str">
        <v>Input</v>
      </c>
    </row>
    <row r="213" spans="4:40" ht="20.100000000000001" customHeight="1" x14ac:dyDescent="0.25">
      <c r="D213" s="109" t="str">
        <v>f</v>
      </c>
      <c r="E213" s="110" t="str">
        <v>inorganic fertiliser type</v>
      </c>
      <c r="F213" s="112"/>
      <c r="G213" s="109" t="str">
        <v/>
      </c>
      <c r="H213" s="261" t="str">
        <v>Input</v>
      </c>
    </row>
    <row r="214" spans="4:40" ht="20.100000000000001" customHeight="1" x14ac:dyDescent="0.25">
      <c r="D214" s="109" t="str">
        <v>j</v>
      </c>
      <c r="E214" s="110" t="str">
        <v>production system</v>
      </c>
      <c r="F214" s="112"/>
      <c r="G214" s="109" t="str">
        <v/>
      </c>
      <c r="H214" s="261" t="str">
        <v>Input</v>
      </c>
    </row>
    <row r="215" spans="4:40" ht="20.100000000000001" customHeight="1" x14ac:dyDescent="0.25"/>
    <row r="216" spans="4:40" ht="20.100000000000001" customHeight="1" x14ac:dyDescent="0.25">
      <c r="D216" s="249" t="s">
        <v>1101</v>
      </c>
    </row>
    <row r="217" spans="4:40" ht="20.100000000000001" customHeight="1" x14ac:dyDescent="0.25"/>
    <row r="218" spans="4:40" ht="20.100000000000001" customHeight="1" x14ac:dyDescent="0.25">
      <c r="D218" s="46" t="s">
        <v>1102</v>
      </c>
      <c r="E218" s="48"/>
      <c r="F218" s="49"/>
    </row>
    <row r="219" spans="4:40" ht="20.100000000000001" customHeight="1" x14ac:dyDescent="0.25"/>
    <row r="220" spans="4:40" ht="20.100000000000001" customHeight="1" x14ac:dyDescent="0.25">
      <c r="D220" s="119" t="s">
        <v>155</v>
      </c>
      <c r="E220" s="119" t="s">
        <v>1103</v>
      </c>
      <c r="F220" s="118" t="s">
        <v>1104</v>
      </c>
      <c r="G220" s="118" t="s">
        <v>1105</v>
      </c>
      <c r="H220" s="118" t="s">
        <v>1106</v>
      </c>
      <c r="I220" s="119" t="s">
        <v>1107</v>
      </c>
      <c r="J220" s="118" t="s">
        <v>1108</v>
      </c>
      <c r="K220" s="118" t="s">
        <v>1109</v>
      </c>
      <c r="L220" s="119" t="s">
        <v>1063</v>
      </c>
      <c r="M220" s="119" t="s">
        <v>1064</v>
      </c>
      <c r="N220" s="119" t="s">
        <v>1065</v>
      </c>
      <c r="O220" s="118" t="s">
        <v>494</v>
      </c>
      <c r="P220" s="118" t="s">
        <v>495</v>
      </c>
      <c r="Q220" s="118" t="s">
        <v>481</v>
      </c>
      <c r="R220" s="118" t="s">
        <v>482</v>
      </c>
      <c r="S220" s="118" t="s">
        <v>1110</v>
      </c>
      <c r="T220" s="119" t="s">
        <v>1111</v>
      </c>
      <c r="U220" s="118" t="s">
        <v>483</v>
      </c>
      <c r="V220" s="118" t="s">
        <v>484</v>
      </c>
      <c r="W220" s="118" t="s">
        <v>1112</v>
      </c>
      <c r="X220" s="119" t="s">
        <v>1113</v>
      </c>
      <c r="Y220" s="118" t="s">
        <v>485</v>
      </c>
      <c r="Z220" s="118" t="s">
        <v>486</v>
      </c>
      <c r="AA220" s="118" t="s">
        <v>1114</v>
      </c>
      <c r="AB220" s="119" t="s">
        <v>1115</v>
      </c>
      <c r="AC220" s="118" t="s">
        <v>487</v>
      </c>
      <c r="AD220" s="118" t="s">
        <v>488</v>
      </c>
      <c r="AE220" s="118" t="s">
        <v>1116</v>
      </c>
      <c r="AF220" s="119" t="s">
        <v>1117</v>
      </c>
      <c r="AG220" s="118" t="s">
        <v>489</v>
      </c>
      <c r="AH220" s="118" t="s">
        <v>490</v>
      </c>
      <c r="AI220" s="118" t="s">
        <v>1118</v>
      </c>
      <c r="AJ220" s="119" t="s">
        <v>1119</v>
      </c>
      <c r="AK220" s="118" t="s">
        <v>491</v>
      </c>
      <c r="AL220" s="118" t="s">
        <v>492</v>
      </c>
      <c r="AM220" s="118" t="s">
        <v>1120</v>
      </c>
      <c r="AN220" s="119" t="s">
        <v>1121</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9" t="s">
        <v>1122</v>
      </c>
    </row>
    <row r="233" spans="4:40" ht="20.100000000000001" customHeight="1" x14ac:dyDescent="0.25"/>
    <row r="234" spans="4:40" ht="20.100000000000001" customHeight="1" x14ac:dyDescent="0.25">
      <c r="D234" s="46" t="s">
        <v>1123</v>
      </c>
      <c r="E234" s="48"/>
      <c r="F234" s="49"/>
    </row>
    <row r="235" spans="4:40" ht="20.100000000000001" customHeight="1" x14ac:dyDescent="0.25"/>
    <row r="236" spans="4:40" ht="20.100000000000001" customHeight="1" x14ac:dyDescent="0.25">
      <c r="D236" s="119" t="s">
        <v>1086</v>
      </c>
      <c r="E236" s="119" t="s">
        <v>1103</v>
      </c>
      <c r="F236" s="118" t="s">
        <v>1104</v>
      </c>
      <c r="G236" s="118" t="s">
        <v>1105</v>
      </c>
      <c r="H236" s="118" t="s">
        <v>1106</v>
      </c>
      <c r="I236" s="119" t="s">
        <v>1107</v>
      </c>
      <c r="J236" s="118" t="s">
        <v>1108</v>
      </c>
      <c r="K236" s="118" t="s">
        <v>1109</v>
      </c>
      <c r="L236" s="119" t="s">
        <v>1063</v>
      </c>
      <c r="M236" s="119" t="s">
        <v>1064</v>
      </c>
      <c r="N236" s="119" t="s">
        <v>1065</v>
      </c>
      <c r="O236" s="118" t="s">
        <v>494</v>
      </c>
      <c r="P236" s="118" t="s">
        <v>495</v>
      </c>
      <c r="Q236" s="118" t="s">
        <v>481</v>
      </c>
      <c r="R236" s="118" t="s">
        <v>482</v>
      </c>
      <c r="S236" s="118" t="s">
        <v>1110</v>
      </c>
      <c r="T236" s="119" t="s">
        <v>1111</v>
      </c>
      <c r="U236" s="118" t="s">
        <v>483</v>
      </c>
      <c r="V236" s="118" t="s">
        <v>484</v>
      </c>
      <c r="W236" s="118" t="s">
        <v>1112</v>
      </c>
      <c r="X236" s="119" t="s">
        <v>1113</v>
      </c>
      <c r="Y236" s="118" t="s">
        <v>485</v>
      </c>
      <c r="Z236" s="118" t="s">
        <v>486</v>
      </c>
      <c r="AA236" s="118" t="s">
        <v>1114</v>
      </c>
      <c r="AB236" s="119" t="s">
        <v>1115</v>
      </c>
      <c r="AC236" s="118" t="s">
        <v>487</v>
      </c>
      <c r="AD236" s="118" t="s">
        <v>488</v>
      </c>
      <c r="AE236" s="118" t="s">
        <v>1116</v>
      </c>
      <c r="AF236" s="119" t="s">
        <v>1117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63" cm="1">
        <f t="array" ref="J237">Scope3_Equations.VEERG_15_4_1_1__1_EmissionsFromPurchasedFertiliser(E237,I237)</f>
        <v>4</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8"/>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63"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63" cm="1">
        <f t="array" ref="J238">Scope3_Equations.VEERG_15_4_1_1__1_EmissionsFromPurchasedFertiliser(E238,I238)</f>
        <v>9</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63" cm="1">
        <f t="array" ref="G239">Scope3_Equations.VEERG_15_4_1_1__1_EmissionsFromPurchasedFertiliser(E239,F239)</f>
        <v>11.6</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86">
        <v>0.4</v>
      </c>
      <c r="J239" s="263" cm="1">
        <f t="array" ref="J239">Scope3_Equations.VEERG_15_4_1_1__1_EmissionsFromPurchasedFertiliser(E239,I239)</f>
        <v>4</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1124</v>
      </c>
      <c r="E248" s="122">
        <f>SUM(G221:G230)+SUM(G237:G246)</f>
        <v>78.284322000000003</v>
      </c>
      <c r="F248" s="123" t="str">
        <f>$E$155</f>
        <v>t CO2e</v>
      </c>
    </row>
    <row r="249" spans="3:41" ht="20.100000000000001" customHeight="1" x14ac:dyDescent="0.25">
      <c r="D249" s="264" t="s">
        <v>1125</v>
      </c>
      <c r="E249" s="122">
        <f>SUM(J221:J230)+SUM(J237:J246)</f>
        <v>38.745000000000005</v>
      </c>
      <c r="F249" s="123" t="str">
        <f>$E$155</f>
        <v>t CO2e</v>
      </c>
    </row>
    <row r="250" spans="3:41" ht="20.100000000000001" customHeight="1" x14ac:dyDescent="0.25"/>
    <row r="251" spans="3:41" ht="20.100000000000001" customHeight="1" x14ac:dyDescent="0.25">
      <c r="D251" s="264" t="s">
        <v>1126</v>
      </c>
      <c r="E251" s="122">
        <f>SUM(H221:H230)+SUM(H237:H246)</f>
        <v>78.284322000000003</v>
      </c>
      <c r="F251" s="123" t="str">
        <f>$E$155</f>
        <v>t CO2e</v>
      </c>
    </row>
    <row r="252" spans="3:41" ht="20.100000000000001" customHeight="1" x14ac:dyDescent="0.25">
      <c r="D252" s="264" t="s">
        <v>1127</v>
      </c>
      <c r="E252" s="122">
        <f>SUM(K221:K230)+SUM(K237:K246)</f>
        <v>75.743047000000004</v>
      </c>
      <c r="F252" s="123" t="str">
        <f>$E$155</f>
        <v>t CO2e</v>
      </c>
    </row>
    <row r="253" spans="3:41" ht="20.100000000000001" customHeight="1" x14ac:dyDescent="0.25"/>
    <row r="254" spans="3:41" ht="20.100000000000001" customHeight="1" x14ac:dyDescent="0.25"/>
    <row r="255" spans="3:41" ht="20.100000000000001" customHeight="1" x14ac:dyDescent="0.25">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7" t="s">
        <v>258</v>
      </c>
      <c r="E258" s="107"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260</v>
      </c>
      <c r="E262" s="1" t="str" cm="1">
        <f t="array" ref="E262">Scope3_Equations.VEERG_15_5_1_1__1_EmissionsFromPurchasedAgrichemicals_Variable()</f>
        <v>E</v>
      </c>
    </row>
    <row r="263" spans="4:9" ht="20.100000000000001" customHeight="1" x14ac:dyDescent="0.25">
      <c r="D263" s="88" t="s">
        <v>132</v>
      </c>
      <c r="E263" s="15" t="str" cm="1">
        <f t="array" ref="E263">Scope3_Equations.VEERG_15_5_1_1__1_EmissionsFromPurchasedAgrichemicals_Unit()</f>
        <v>t CO2e</v>
      </c>
    </row>
    <row r="264" spans="4:9" ht="20.100000000000001" customHeight="1" x14ac:dyDescent="0.25"/>
    <row r="265" spans="4:9" x14ac:dyDescent="0.25">
      <c r="D265" s="109" t="str" cm="1">
        <f t="array" ref="D265:E267">_xlfn.CHOOSECOLS(Scope3_Equations.VEERG_15_5_1_1__1_EmissionsFromPurchasedAgrichemicals_Arguments(),1,2)</f>
        <v>Q_h</v>
      </c>
      <c r="E265" s="110" t="str">
        <v>quantity of active ingredients in agrichemical type h purchased and applied to soils</v>
      </c>
      <c r="F265" s="112"/>
      <c r="G265" s="109" t="str" cm="1">
        <f t="array" ref="G265:H267">_xlfn.CHOOSECOLS(Scope3_Equations.VEERG_15_5_1_1__1_EmissionsFromPurchasedAgrichemicals_Arguments(),3,4)</f>
        <v>kg ai</v>
      </c>
      <c r="H265" s="261" t="str">
        <v>Input</v>
      </c>
    </row>
    <row r="266" spans="4:9" x14ac:dyDescent="0.25">
      <c r="D266" s="109" t="str">
        <v>EF_h</v>
      </c>
      <c r="E266" s="110" t="str">
        <v>emission factor for purchased agrichemical active ingredient</v>
      </c>
      <c r="F266" s="112"/>
      <c r="G266" s="109" t="str">
        <v>kg CO2e/kg ai</v>
      </c>
      <c r="H266" s="114" t="str">
        <v>Constant</v>
      </c>
    </row>
    <row r="267" spans="4:9" x14ac:dyDescent="0.25">
      <c r="D267" s="109" t="str">
        <v>h</v>
      </c>
      <c r="E267" s="110" t="str">
        <v>agrichemical type</v>
      </c>
      <c r="F267" s="112"/>
      <c r="G267" s="109" t="str">
        <v/>
      </c>
      <c r="H267" s="261" t="str">
        <v>Input</v>
      </c>
    </row>
    <row r="269" spans="4:9" ht="17.25" x14ac:dyDescent="0.25">
      <c r="D269" s="119" t="s">
        <v>1128</v>
      </c>
      <c r="E269" s="119" t="s">
        <v>480</v>
      </c>
      <c r="F269" s="118" t="s">
        <v>1129</v>
      </c>
      <c r="G269" s="118" t="s">
        <v>1059</v>
      </c>
      <c r="H269" s="119" t="s">
        <v>1130</v>
      </c>
      <c r="I269" s="118" t="s">
        <v>1062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1059</v>
      </c>
      <c r="E283" s="122">
        <f>SUM(G270:G281)</f>
        <v>7.5159999999999991</v>
      </c>
      <c r="F283" s="123" t="str">
        <f>$E$155</f>
        <v>t CO2e</v>
      </c>
    </row>
    <row r="284" spans="3:41" ht="20.25" x14ac:dyDescent="0.25">
      <c r="D284" s="264" t="s">
        <v>1062</v>
      </c>
      <c r="E284" s="122">
        <f>SUM(I270:I281)</f>
        <v>7.4959999999999996</v>
      </c>
      <c r="F284" s="123" t="str">
        <f>$E$155</f>
        <v>t CO2e</v>
      </c>
    </row>
    <row r="287" spans="3:41" x14ac:dyDescent="0.25">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120"/>
      <c r="AH287" s="120"/>
      <c r="AI287" s="120"/>
      <c r="AJ287" s="120"/>
      <c r="AK287" s="120"/>
      <c r="AL287" s="120"/>
      <c r="AM287" s="120"/>
      <c r="AN287" s="120"/>
      <c r="AO287" s="12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7" t="s">
        <v>258</v>
      </c>
      <c r="E290" s="107" t="str" cm="1">
        <f t="array" aca="1" ref="E290" ca="1">Common_InputFunctions.Utility_DisplayFunctionName(I305)</f>
        <v>=Scope3_Equations.VEERG_15_6_1_1__1_EmissionsFromPurchasedLime</v>
      </c>
    </row>
    <row r="293" spans="4:13" x14ac:dyDescent="0.25">
      <c r="D293" s="88" t="s">
        <v>260</v>
      </c>
      <c r="E293" s="1" t="str" cm="1">
        <f t="array" ref="E293">Scope3_Equations.VEERG_15_6_1_1__1_EmissionsFromPurchasedLime_Variable()</f>
        <v>E</v>
      </c>
    </row>
    <row r="294" spans="4:13" x14ac:dyDescent="0.25">
      <c r="D294" s="88" t="s">
        <v>132</v>
      </c>
      <c r="E294" s="1" t="str" cm="1">
        <f t="array" ref="E294">Scope3_Equations.VEERG_15_6_1_1__1_EmissionsFromPurchasedLime_Unit()</f>
        <v>t CO2e</v>
      </c>
    </row>
    <row r="296" spans="4:13" x14ac:dyDescent="0.25">
      <c r="D296" s="109" t="str" cm="1">
        <f t="array" ref="D296:E297">_xlfn.CHOOSECOLS(Scope3_Equations.VEERG_15_6_1_1__1_EmissionsFromPurchasedLime_Arguments(),1,2)</f>
        <v>M_lime</v>
      </c>
      <c r="E296" s="109" t="str">
        <v>total quantity of lime applied to soils</v>
      </c>
      <c r="F296" s="109" t="str" cm="1">
        <f t="array" ref="F296:G297">_xlfn.CHOOSECOLS(Scope3_Equations.VEERG_15_6_1_1__1_EmissionsFromPurchasedLime_Arguments(),3,4)</f>
        <v>t</v>
      </c>
      <c r="G296" s="261" t="str">
        <v>Input</v>
      </c>
    </row>
    <row r="297" spans="4:13" x14ac:dyDescent="0.25">
      <c r="D297" s="109" t="str">
        <v>EF_l</v>
      </c>
      <c r="E297" s="109" t="str">
        <v>emission factor for purchased lime</v>
      </c>
      <c r="F297" s="109" t="str">
        <v>t CO2e/t</v>
      </c>
      <c r="G297" s="114" t="str">
        <v>Constant</v>
      </c>
    </row>
    <row r="299" spans="4:13" x14ac:dyDescent="0.25">
      <c r="E299" s="118" t="s">
        <v>151</v>
      </c>
      <c r="F299" s="119" t="s">
        <v>152</v>
      </c>
    </row>
    <row r="300" spans="4:13" ht="18.75" x14ac:dyDescent="0.25">
      <c r="D300" s="1" t="s">
        <v>1131</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1132</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1133</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9" t="s">
        <v>642</v>
      </c>
      <c r="E304" s="262" t="s">
        <v>1134</v>
      </c>
      <c r="F304" s="119" t="s">
        <v>1135</v>
      </c>
      <c r="G304" s="119" t="s">
        <v>1136</v>
      </c>
      <c r="H304" s="119" t="s">
        <v>1137</v>
      </c>
      <c r="I304" s="118" t="s">
        <v>1059</v>
      </c>
      <c r="J304" s="118" t="s">
        <v>1138</v>
      </c>
      <c r="K304" s="119" t="s">
        <v>1063</v>
      </c>
      <c r="L304" s="119" t="s">
        <v>1064</v>
      </c>
      <c r="M304" s="119" t="s">
        <v>1065</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63" cm="1">
        <f t="array" ref="I305">Scope3_Equations.VEERG_15_6_1_1__1_EmissionsFromPurchasedLime(F305,$E$300)+
Scope3_Equations.VEERG_15_6_1_1__1_EmissionsFromPurchasedLime(G305,$E$301)+
Scope3_Equations.VEERG_15_6_1_1__1_EmissionsFromPurchasedLime(H305,$E$302)</f>
        <v>5.1839999999999994E-3</v>
      </c>
      <c r="J305" s="263"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4.8500000000000001E-3</v>
      </c>
      <c r="J306" s="263"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63" cm="1">
        <f t="array" ref="I307">Scope3_Equations.VEERG_15_6_1_1__1_EmissionsFromPurchasedLime(F307,$E$300)+
Scope3_Equations.VEERG_15_6_1_1__1_EmissionsFromPurchasedLime(G307,$E$301)+
Scope3_Equations.VEERG_15_6_1_1__1_EmissionsFromPurchasedLime(H307,$E$302)</f>
        <v>6.5199999999999998E-3</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1059</v>
      </c>
      <c r="E316" s="122">
        <f>SUM(I305:I314)</f>
        <v>1.6553999999999999E-2</v>
      </c>
      <c r="F316" s="123" t="str">
        <f>$E$155</f>
        <v>t CO2e</v>
      </c>
    </row>
    <row r="317" spans="3:41" ht="20.25" x14ac:dyDescent="0.25">
      <c r="D317" s="264" t="s">
        <v>1062</v>
      </c>
      <c r="E317" s="122">
        <f>SUM(J305:J314)</f>
        <v>1.4400000000000001E-2</v>
      </c>
      <c r="F317" s="123" t="str">
        <f>$E$155</f>
        <v>t CO2e</v>
      </c>
    </row>
    <row r="320" spans="3:41" x14ac:dyDescent="0.25">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c r="AA320" s="120"/>
      <c r="AB320" s="120"/>
      <c r="AC320" s="120"/>
      <c r="AD320" s="120"/>
      <c r="AE320" s="120"/>
      <c r="AF320" s="120"/>
      <c r="AG320" s="120"/>
      <c r="AH320" s="120"/>
      <c r="AI320" s="120"/>
      <c r="AJ320" s="120"/>
      <c r="AK320" s="120"/>
      <c r="AL320" s="120"/>
      <c r="AM320" s="120"/>
      <c r="AN320" s="120"/>
      <c r="AO320" s="12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7" t="s">
        <v>258</v>
      </c>
      <c r="E323" s="107" t="str" cm="1">
        <f t="array" aca="1" ref="E323" ca="1">Common_InputFunctions.Utility_DisplayFunctionName(K336)</f>
        <v>=Scope3_Equations.VEERG_15_7_1_1__1_EmissionsFromPurchasedServices</v>
      </c>
    </row>
    <row r="325" spans="4:15" x14ac:dyDescent="0.25">
      <c r="H325" s="1" t="s">
        <v>1139</v>
      </c>
    </row>
    <row r="326" spans="4:15" x14ac:dyDescent="0.25">
      <c r="D326" s="88" t="s">
        <v>260</v>
      </c>
      <c r="E326" s="1" t="str" cm="1">
        <f t="array" ref="E326">Scope3_Equations.VEERG_15_7_1_1__1_EmissionsFromPurchasedServices_Variable()</f>
        <v>E</v>
      </c>
    </row>
    <row r="327" spans="4:15" x14ac:dyDescent="0.25">
      <c r="D327" s="88" t="s">
        <v>132</v>
      </c>
      <c r="E327" s="1" t="str" cm="1">
        <f t="array" ref="E327">Scope3_Equations.VEERG_15_7_1_1__1_EmissionsFromPurchasedServices_Unit()</f>
        <v>t CO2e</v>
      </c>
    </row>
    <row r="329" spans="4:15" x14ac:dyDescent="0.25">
      <c r="D329" s="109" t="str" cm="1">
        <f t="array" ref="D329:E331">_xlfn.CHOOSECOLS(Scope3_Equations.VEERG_15_7_1_1__1_EmissionsFromPurchasedServices_Arguments(),1,2)</f>
        <v>A_p</v>
      </c>
      <c r="E329" s="110" t="str">
        <v>activity data of the service that was purchased</v>
      </c>
      <c r="F329" s="112"/>
      <c r="G329" s="109" t="str" cm="1">
        <f t="array" ref="G329:H331">_xlfn.CHOOSECOLS(Scope3_Equations.VEERG_15_7_1_1__1_EmissionsFromPurchasedServices_Arguments(),3,4)</f>
        <v>ha or h</v>
      </c>
      <c r="H329" s="261" t="str">
        <v>Input</v>
      </c>
    </row>
    <row r="330" spans="4:15" x14ac:dyDescent="0.25">
      <c r="D330" s="109" t="str">
        <v>EF_p</v>
      </c>
      <c r="E330" s="110" t="str">
        <v>life cycle emission factor for the purchased service</v>
      </c>
      <c r="F330" s="112"/>
      <c r="G330" s="109" t="str">
        <v>kg CO2e/ha or kg CO2e/h</v>
      </c>
      <c r="H330" s="114" t="str">
        <v>Constant</v>
      </c>
    </row>
    <row r="331" spans="4:15" x14ac:dyDescent="0.25">
      <c r="D331" s="109" t="str">
        <v>p</v>
      </c>
      <c r="E331" s="110" t="str">
        <v>service type</v>
      </c>
      <c r="F331" s="112"/>
      <c r="G331" s="109" t="str">
        <v/>
      </c>
      <c r="H331" s="261" t="str">
        <v>Input</v>
      </c>
    </row>
    <row r="333" spans="4:15" x14ac:dyDescent="0.25">
      <c r="D333" s="36" t="s">
        <v>1140</v>
      </c>
    </row>
    <row r="335" spans="4:15" x14ac:dyDescent="0.25">
      <c r="D335" s="119" t="s">
        <v>999</v>
      </c>
      <c r="E335" s="119" t="s">
        <v>1000</v>
      </c>
      <c r="F335" s="119" t="s">
        <v>1001</v>
      </c>
      <c r="G335" s="119" t="s">
        <v>710</v>
      </c>
      <c r="H335" s="118" t="s">
        <v>1141</v>
      </c>
      <c r="I335" s="118" t="s">
        <v>1142</v>
      </c>
      <c r="J335" s="119" t="s">
        <v>1143</v>
      </c>
      <c r="K335" s="118" t="s">
        <v>1144</v>
      </c>
      <c r="L335" s="118" t="s">
        <v>1145</v>
      </c>
      <c r="M335" s="119" t="s">
        <v>1063</v>
      </c>
      <c r="N335" s="119" t="s">
        <v>1064</v>
      </c>
      <c r="O335" s="119" t="s">
        <v>1065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1146</v>
      </c>
      <c r="I336" s="25" t="s">
        <v>1146</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1146</v>
      </c>
      <c r="I337" s="25" t="s">
        <v>1146</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1146</v>
      </c>
      <c r="I338" s="25" t="s">
        <v>1146</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1146</v>
      </c>
      <c r="I339" s="25" t="s">
        <v>1146</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1146</v>
      </c>
      <c r="I340" s="25" t="s">
        <v>1146</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1146</v>
      </c>
      <c r="I341" s="25" t="s">
        <v>1146</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1146</v>
      </c>
      <c r="I342" s="25" t="s">
        <v>1146</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1146</v>
      </c>
      <c r="I343" s="25" t="s">
        <v>1146</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1146</v>
      </c>
      <c r="I344" s="25" t="s">
        <v>1146</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1146</v>
      </c>
      <c r="I345" s="25" t="s">
        <v>1146</v>
      </c>
      <c r="J345" s="86"/>
      <c r="K345" s="263" cm="1">
        <f t="array" ref="K345">Scope3_Equations.VEERG_15_7_1_1__1_EmissionsFromPurchasedServices(F345,J345)</f>
        <v>0</v>
      </c>
      <c r="L345" s="25" t="str">
        <f t="shared" si="1"/>
        <v>t CO2e / 0</v>
      </c>
      <c r="M345" s="44"/>
      <c r="N345" s="23"/>
      <c r="O345" s="44"/>
    </row>
    <row r="347" spans="3:41" ht="20.25" x14ac:dyDescent="0.25">
      <c r="D347" s="264" t="s">
        <v>1059</v>
      </c>
      <c r="E347" s="122" t="s">
        <v>1146</v>
      </c>
      <c r="F347" s="123" t="str">
        <f>$E$155</f>
        <v>t CO2e</v>
      </c>
    </row>
    <row r="348" spans="3:41" ht="20.25" x14ac:dyDescent="0.25">
      <c r="D348" s="264" t="s">
        <v>1062</v>
      </c>
      <c r="E348" s="122">
        <f>SUM(K336:K345)</f>
        <v>42</v>
      </c>
      <c r="F348" s="123" t="str">
        <f>$E$155</f>
        <v>t CO2e</v>
      </c>
    </row>
    <row r="351" spans="3:41" x14ac:dyDescent="0.25">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c r="AC351" s="120"/>
      <c r="AD351" s="120"/>
      <c r="AE351" s="120"/>
      <c r="AF351" s="120"/>
      <c r="AG351" s="120"/>
      <c r="AH351" s="120"/>
      <c r="AI351" s="120"/>
      <c r="AJ351" s="120"/>
      <c r="AK351" s="120"/>
      <c r="AL351" s="120"/>
      <c r="AM351" s="120"/>
      <c r="AN351" s="120"/>
      <c r="AO351" s="12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7" t="s">
        <v>258</v>
      </c>
      <c r="E355" s="107" t="str" cm="1">
        <f t="array" aca="1" ref="E355" ca="1">Common_InputFunctions.Utility_DisplayFunctionName(H367)</f>
        <v>=Scope3_Equations.VEERG_15_8_1_1__1_EmissionsFromPurchasedPackaging</v>
      </c>
    </row>
    <row r="359" spans="4:13" x14ac:dyDescent="0.25">
      <c r="D359" s="88" t="s">
        <v>260</v>
      </c>
      <c r="E359" s="1" t="str" cm="1">
        <f t="array" ref="E359">Scope3_Equations.VEERG_15_8_1_1__1_EmissionsFromPurchasedPackaging_Variable()</f>
        <v>E</v>
      </c>
    </row>
    <row r="360" spans="4:13" x14ac:dyDescent="0.25">
      <c r="D360" s="88" t="s">
        <v>132</v>
      </c>
      <c r="E360" s="15" t="str" cm="1">
        <f t="array" ref="E360">Scope3_Equations.VEERG_15_8_1_1__1_EmissionsFromPurchasedPackaging_Unit()</f>
        <v>t CO2e</v>
      </c>
    </row>
    <row r="362" spans="4:13" x14ac:dyDescent="0.25">
      <c r="D362" s="109" t="str" cm="1">
        <f t="array" ref="D362:E364">_xlfn.CHOOSECOLS(Scope3_Equations.VEERG_15_8_1_1__1_EmissionsFromPurchasedPackaging_Arguments(),1,2)</f>
        <v>Q_p</v>
      </c>
      <c r="E362" s="109" t="str">
        <v>units of packaging type p</v>
      </c>
      <c r="F362" s="109" t="str" cm="1">
        <f t="array" ref="F362:G364">_xlfn.CHOOSECOLS(Scope3_Equations.VEERG_15_8_1_1__1_EmissionsFromPurchasedPackaging_Arguments(),3,4)</f>
        <v>units</v>
      </c>
      <c r="G362" s="261" t="str">
        <v>Input</v>
      </c>
    </row>
    <row r="363" spans="4:13" x14ac:dyDescent="0.25">
      <c r="D363" s="109" t="str">
        <v>EF_p</v>
      </c>
      <c r="E363" s="109" t="str">
        <v>emission factor for packaging type p</v>
      </c>
      <c r="F363" s="109" t="str">
        <v>kg CO2e/unit</v>
      </c>
      <c r="G363" s="114" t="str">
        <v>Constant</v>
      </c>
    </row>
    <row r="364" spans="4:13" x14ac:dyDescent="0.25">
      <c r="D364" s="109" t="str">
        <v>p</v>
      </c>
      <c r="E364" s="109" t="str">
        <v>packaging type</v>
      </c>
      <c r="F364" s="109" t="str">
        <v/>
      </c>
      <c r="G364" s="261" t="str">
        <v>Input</v>
      </c>
    </row>
    <row r="366" spans="4:13" ht="17.25" x14ac:dyDescent="0.25">
      <c r="D366" s="119" t="s">
        <v>1053</v>
      </c>
      <c r="E366" s="262" t="s">
        <v>1011</v>
      </c>
      <c r="F366" s="262" t="s">
        <v>1147</v>
      </c>
      <c r="G366" s="118" t="s">
        <v>1148</v>
      </c>
      <c r="H366" s="118" t="s">
        <v>1059</v>
      </c>
      <c r="I366" s="119" t="s">
        <v>1149</v>
      </c>
      <c r="J366" s="118" t="s">
        <v>1062</v>
      </c>
      <c r="K366" s="119" t="s">
        <v>1063</v>
      </c>
      <c r="L366" s="119" t="s">
        <v>1064</v>
      </c>
      <c r="M366" s="119" t="s">
        <v>1065</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1059</v>
      </c>
      <c r="E378" s="122">
        <f>SUM(H367:H376)</f>
        <v>7.44</v>
      </c>
      <c r="F378" s="123" t="str">
        <f>$E$155</f>
        <v>t CO2e</v>
      </c>
    </row>
    <row r="379" spans="3:41" ht="20.25" x14ac:dyDescent="0.25">
      <c r="D379" s="264" t="s">
        <v>1062</v>
      </c>
      <c r="E379" s="122">
        <f>SUM(J367:J376)</f>
        <v>6</v>
      </c>
      <c r="F379" s="123" t="str">
        <f>$E$155</f>
        <v>t CO2e</v>
      </c>
    </row>
    <row r="382" spans="3:41" x14ac:dyDescent="0.25">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120"/>
      <c r="AH382" s="120"/>
      <c r="AI382" s="120"/>
      <c r="AJ382" s="120"/>
      <c r="AK382" s="120"/>
      <c r="AL382" s="120"/>
      <c r="AM382" s="120"/>
      <c r="AN382" s="120"/>
      <c r="AO382" s="12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7" t="s">
        <v>258</v>
      </c>
      <c r="E385" s="107" t="str" cm="1">
        <f t="array" aca="1" ref="E385" ca="1">Common_InputFunctions.Utility_DisplayFunctionName(J399)</f>
        <v>=Scope3_Equations.VEERG_15_9_1_1__1_EmissionsFromPurchasedGrowMedia</v>
      </c>
    </row>
    <row r="388" spans="4:14" x14ac:dyDescent="0.25">
      <c r="G388" s="107"/>
    </row>
    <row r="389" spans="4:14" x14ac:dyDescent="0.25">
      <c r="D389" s="88" t="s">
        <v>260</v>
      </c>
      <c r="E389" s="1" t="str" cm="1">
        <f t="array" ref="E389">Scope3_Equations.VEERG_15_9_1_1__1_EmissionsFromPurchasedGrowMedia_Variable()</f>
        <v>E</v>
      </c>
    </row>
    <row r="390" spans="4:14" x14ac:dyDescent="0.25">
      <c r="D390" s="88" t="s">
        <v>132</v>
      </c>
      <c r="E390" s="1" t="str" cm="1">
        <f t="array" ref="E390">Scope3_Equations.VEERG_15_9_1_1__1_EmissionsFromPurchasedGrowMedia_Unit()</f>
        <v>t CO2e</v>
      </c>
    </row>
    <row r="392" spans="4:14" x14ac:dyDescent="0.25">
      <c r="D392" s="109" t="str" cm="1">
        <f t="array" ref="D392:E394">_xlfn.CHOOSECOLS(Scope3_Equations.VEERG_15_9_1_1__1_EmissionsFromPurchasedGrowMedia_Arguments(),1,2)</f>
        <v>Q_g</v>
      </c>
      <c r="E392" s="109" t="str">
        <v>total quantity of grow media type g</v>
      </c>
      <c r="F392" s="109" t="str" cm="1">
        <f t="array" ref="F392:G394">_xlfn.CHOOSECOLS(Scope3_Equations.VEERG_15_9_1_1__1_EmissionsFromPurchasedGrowMedia_Arguments(),3,4)</f>
        <v>kg or m3</v>
      </c>
      <c r="G392" s="261" t="str">
        <v>Input</v>
      </c>
    </row>
    <row r="393" spans="4:14" x14ac:dyDescent="0.25">
      <c r="D393" s="109" t="str">
        <v>EF_g</v>
      </c>
      <c r="E393" s="109" t="str">
        <v>emission factor for grow media type g</v>
      </c>
      <c r="F393" s="109" t="str">
        <v>kg CO2e/kg or kg CO2e/m3</v>
      </c>
      <c r="G393" s="114" t="str">
        <v>Constant</v>
      </c>
    </row>
    <row r="394" spans="4:14" x14ac:dyDescent="0.25">
      <c r="D394" s="109" t="str">
        <v>g</v>
      </c>
      <c r="E394" s="109" t="str">
        <v>grow media type</v>
      </c>
      <c r="F394" s="109" t="str">
        <v/>
      </c>
      <c r="G394" s="261" t="str">
        <v>Input</v>
      </c>
    </row>
    <row r="396" spans="4:14" x14ac:dyDescent="0.25">
      <c r="D396" s="36" t="s">
        <v>1140</v>
      </c>
    </row>
    <row r="398" spans="4:14" x14ac:dyDescent="0.25">
      <c r="D398" s="119" t="s">
        <v>1017</v>
      </c>
      <c r="E398" s="119" t="s">
        <v>1001</v>
      </c>
      <c r="F398" s="119" t="s">
        <v>710</v>
      </c>
      <c r="G398" s="118" t="s">
        <v>1141</v>
      </c>
      <c r="H398" s="118" t="s">
        <v>1142</v>
      </c>
      <c r="I398" s="119" t="s">
        <v>1143</v>
      </c>
      <c r="J398" s="118" t="s">
        <v>1144</v>
      </c>
      <c r="K398" s="118" t="s">
        <v>1145</v>
      </c>
      <c r="L398" s="119" t="s">
        <v>1063</v>
      </c>
      <c r="M398" s="119" t="s">
        <v>1064</v>
      </c>
      <c r="N398" s="119" t="s">
        <v>1065</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1146</v>
      </c>
      <c r="H399" s="25" t="s">
        <v>1146</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1146</v>
      </c>
      <c r="H400" s="25" t="s">
        <v>1146</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1146</v>
      </c>
      <c r="H401" s="25" t="s">
        <v>1146</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1146</v>
      </c>
      <c r="H402" s="25" t="s">
        <v>1146</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1146</v>
      </c>
      <c r="H403" s="25" t="s">
        <v>1146</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1146</v>
      </c>
      <c r="H404" s="25" t="s">
        <v>1146</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1146</v>
      </c>
      <c r="H405" s="25" t="s">
        <v>1146</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1146</v>
      </c>
      <c r="H406" s="25" t="s">
        <v>1146</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1146</v>
      </c>
      <c r="H407" s="25" t="s">
        <v>1146</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1146</v>
      </c>
      <c r="H408" s="25" t="s">
        <v>1146</v>
      </c>
      <c r="I408" s="86"/>
      <c r="J408" s="263" cm="1">
        <f t="array" ref="J408">Scope3_Equations.VEERG_15_9_1_1__1_EmissionsFromPurchasedGrowMedia(E408,I408)</f>
        <v>0</v>
      </c>
      <c r="K408" s="25" t="str">
        <f t="shared" si="2"/>
        <v>t CO2e / 0</v>
      </c>
      <c r="L408" s="44"/>
      <c r="M408" s="23"/>
      <c r="N408" s="44"/>
    </row>
    <row r="410" spans="3:41" ht="20.25" x14ac:dyDescent="0.25">
      <c r="D410" s="264" t="s">
        <v>1059</v>
      </c>
      <c r="E410" s="122" t="s">
        <v>1146</v>
      </c>
      <c r="F410" s="123" t="str">
        <f>$E$155</f>
        <v>t CO2e</v>
      </c>
    </row>
    <row r="411" spans="3:41" ht="20.25" x14ac:dyDescent="0.25">
      <c r="D411" s="264" t="s">
        <v>1062</v>
      </c>
      <c r="E411" s="122">
        <f>SUM(J399:J408)</f>
        <v>40.200000000000003</v>
      </c>
      <c r="F411" s="123" t="str">
        <f>$E$155</f>
        <v>t CO2e</v>
      </c>
    </row>
    <row r="414" spans="3:41" x14ac:dyDescent="0.25">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120"/>
      <c r="AH414" s="120"/>
      <c r="AI414" s="120"/>
      <c r="AJ414" s="120"/>
      <c r="AK414" s="120"/>
      <c r="AL414" s="120"/>
      <c r="AM414" s="120"/>
      <c r="AN414" s="120"/>
      <c r="AO414" s="12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1150</v>
      </c>
    </row>
    <row r="418" spans="4:13" x14ac:dyDescent="0.25">
      <c r="D418" s="107" t="s">
        <v>258</v>
      </c>
      <c r="E418" s="107" t="str" cm="1">
        <f t="array" aca="1" ref="E418" ca="1">Common_InputFunctions.Utility_DisplayFunctionName(H430)</f>
        <v>=Scope3_Equations.VEERG_15_10_1_1__1_OtherPurchasedGoodsAndServices</v>
      </c>
    </row>
    <row r="421" spans="4:13" x14ac:dyDescent="0.25">
      <c r="D421" s="88" t="s">
        <v>260</v>
      </c>
      <c r="E421" s="1" t="str" cm="1">
        <f t="array" ref="E421">Scope3_Equations.VEERG_15_10_1_1__1_OtherPurchasedGoodsAndServices_Variable()</f>
        <v>emissions</v>
      </c>
    </row>
    <row r="422" spans="4:13" x14ac:dyDescent="0.25">
      <c r="D422" s="88" t="s">
        <v>132</v>
      </c>
      <c r="E422" s="15" t="str" cm="1">
        <f t="array" ref="E422">Scope3_Equations.VEERG_15_10_1_1__1_OtherPurchasedGoodsAndServices_Unit()</f>
        <v>t CO2e</v>
      </c>
    </row>
    <row r="424" spans="4:13" x14ac:dyDescent="0.25">
      <c r="D424" s="109" t="str" cm="1">
        <f t="array" ref="D424:E425">_xlfn.CHOOSECOLS(Scope3_Equations.VEERG_15_10_1_1__1_OtherPurchasedGoodsAndServices_Arguments(),1,2)</f>
        <v>activity_data</v>
      </c>
      <c r="E424" s="110" t="str">
        <v>measured activity for the purchased good or service</v>
      </c>
      <c r="F424" s="112"/>
      <c r="G424" s="109" t="str" cm="1">
        <f t="array" ref="G424:H425">_xlfn.CHOOSECOLS(Scope3_Equations.VEERG_15_10_1_1__1_OtherPurchasedGoodsAndServices_Arguments(),3,4)</f>
        <v>varies</v>
      </c>
      <c r="H424" s="261" t="str">
        <v>Input</v>
      </c>
    </row>
    <row r="425" spans="4:13" x14ac:dyDescent="0.25">
      <c r="D425" s="109" t="str">
        <v>emission_factor</v>
      </c>
      <c r="E425" s="110" t="str">
        <v>lifecycle emissions per unit of activity</v>
      </c>
      <c r="F425" s="112"/>
      <c r="G425" s="109" t="str">
        <v>varies</v>
      </c>
      <c r="H425" s="114" t="str">
        <v>Constant</v>
      </c>
    </row>
    <row r="427" spans="4:13" ht="18.75" x14ac:dyDescent="0.25">
      <c r="D427" s="249" t="s">
        <v>1151</v>
      </c>
    </row>
    <row r="429" spans="4:13" x14ac:dyDescent="0.25">
      <c r="D429" s="119" t="s">
        <v>1053</v>
      </c>
      <c r="E429" s="262" t="s">
        <v>1152</v>
      </c>
      <c r="F429" s="262" t="s">
        <v>1153</v>
      </c>
      <c r="G429" s="118" t="s">
        <v>137</v>
      </c>
      <c r="H429" s="118" t="s">
        <v>1059</v>
      </c>
      <c r="I429" s="119" t="s">
        <v>138</v>
      </c>
      <c r="J429" s="118" t="s">
        <v>1062</v>
      </c>
      <c r="K429" s="119" t="s">
        <v>1063</v>
      </c>
      <c r="L429" s="119" t="s">
        <v>1064</v>
      </c>
      <c r="M429" s="119" t="s">
        <v>1065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1059</v>
      </c>
      <c r="E441" s="122">
        <f>SUM(H430:H439)</f>
        <v>0.50509999999999999</v>
      </c>
      <c r="F441" s="123" t="str">
        <f>$E$155</f>
        <v>t CO2e</v>
      </c>
    </row>
    <row r="442" spans="4:13" ht="20.25" x14ac:dyDescent="0.25">
      <c r="D442" s="264" t="s">
        <v>1062</v>
      </c>
      <c r="E442" s="122">
        <f>SUM(J430:J439)</f>
        <v>2.73</v>
      </c>
      <c r="F442" s="123" t="str">
        <f>$E$155</f>
        <v>t CO2e</v>
      </c>
    </row>
    <row r="445" spans="4:13" ht="18.75" x14ac:dyDescent="0.25">
      <c r="D445" s="249" t="s">
        <v>1154</v>
      </c>
    </row>
    <row r="447" spans="4:13" x14ac:dyDescent="0.25">
      <c r="D447" s="119" t="s">
        <v>1053</v>
      </c>
      <c r="E447" s="262" t="s">
        <v>1152</v>
      </c>
      <c r="F447" s="262" t="s">
        <v>966</v>
      </c>
      <c r="G447" s="118" t="s">
        <v>1155</v>
      </c>
      <c r="H447" s="118" t="s">
        <v>1059</v>
      </c>
      <c r="I447" s="119" t="s">
        <v>1156</v>
      </c>
      <c r="J447" s="118" t="s">
        <v>1062</v>
      </c>
      <c r="K447" s="119" t="s">
        <v>1063</v>
      </c>
      <c r="L447" s="119" t="s">
        <v>1064</v>
      </c>
      <c r="M447" s="119" t="s">
        <v>1065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1059</v>
      </c>
      <c r="E459" s="122">
        <f>SUM(H448:H457)</f>
        <v>1.5636000000000001E-2</v>
      </c>
      <c r="F459" s="123" t="str">
        <f>$E$155</f>
        <v>t CO2e</v>
      </c>
    </row>
    <row r="460" spans="4:13" ht="20.25" x14ac:dyDescent="0.25">
      <c r="D460" s="264" t="s">
        <v>1062</v>
      </c>
      <c r="E460" s="122">
        <f>SUM(J448:J457)</f>
        <v>1.3400000000000002E-2</v>
      </c>
      <c r="F460" s="123" t="str">
        <f>$E$155</f>
        <v>t CO2e</v>
      </c>
    </row>
    <row r="463" spans="4:13" ht="18.75" x14ac:dyDescent="0.25">
      <c r="D463" s="249" t="s">
        <v>1022</v>
      </c>
    </row>
    <row r="465" spans="4:12" x14ac:dyDescent="0.25">
      <c r="D465" s="119" t="s">
        <v>642</v>
      </c>
      <c r="E465" s="119" t="s">
        <v>1157</v>
      </c>
      <c r="F465" s="118" t="s">
        <v>1155</v>
      </c>
      <c r="G465" s="118" t="s">
        <v>1059</v>
      </c>
      <c r="H465" s="119" t="s">
        <v>1156</v>
      </c>
      <c r="I465" s="118" t="s">
        <v>1062</v>
      </c>
      <c r="J465" s="119" t="s">
        <v>1063</v>
      </c>
      <c r="K465" s="119" t="s">
        <v>1064</v>
      </c>
      <c r="L465" s="119" t="s">
        <v>1065</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1059</v>
      </c>
      <c r="E472" s="122">
        <f>SUM(G466:G470)</f>
        <v>0.84389999999999998</v>
      </c>
      <c r="F472" s="123" t="str">
        <f>$E$155</f>
        <v>t CO2e</v>
      </c>
    </row>
    <row r="473" spans="4:12" ht="20.25" x14ac:dyDescent="0.25">
      <c r="D473" s="264" t="s">
        <v>1062</v>
      </c>
      <c r="E473" s="122">
        <f>SUM(I466:I470)</f>
        <v>0.71420000000000006</v>
      </c>
      <c r="F473" s="123" t="str">
        <f>$E$155</f>
        <v>t CO2e</v>
      </c>
    </row>
    <row r="476" spans="4:12" ht="18.75" x14ac:dyDescent="0.25">
      <c r="D476" s="249" t="s">
        <v>1158</v>
      </c>
    </row>
    <row r="478" spans="4:12" x14ac:dyDescent="0.25">
      <c r="D478" s="119" t="s">
        <v>642</v>
      </c>
      <c r="E478" s="119" t="s">
        <v>1157</v>
      </c>
      <c r="F478" s="118" t="s">
        <v>1155</v>
      </c>
      <c r="G478" s="118" t="s">
        <v>1059</v>
      </c>
      <c r="H478" s="119" t="s">
        <v>1156</v>
      </c>
      <c r="I478" s="118" t="s">
        <v>1062</v>
      </c>
      <c r="J478" s="119" t="s">
        <v>1063</v>
      </c>
      <c r="K478" s="119" t="s">
        <v>1064</v>
      </c>
      <c r="L478" s="119" t="s">
        <v>1065</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1059</v>
      </c>
      <c r="E483" s="122">
        <f>SUM(G479:G481)</f>
        <v>2.9531000000000005</v>
      </c>
      <c r="F483" s="123" t="str">
        <f>$E$155</f>
        <v>t CO2e</v>
      </c>
    </row>
    <row r="484" spans="4:14" ht="20.25" x14ac:dyDescent="0.25">
      <c r="D484" s="264" t="s">
        <v>1062</v>
      </c>
      <c r="E484" s="122">
        <f>SUM(I479:I481)</f>
        <v>8.5860000000000006E-2</v>
      </c>
      <c r="F484" s="123" t="str">
        <f>$E$155</f>
        <v>t CO2e</v>
      </c>
    </row>
    <row r="487" spans="4:14" ht="18.75" x14ac:dyDescent="0.25">
      <c r="D487" s="249" t="s">
        <v>1159</v>
      </c>
    </row>
    <row r="489" spans="4:14" x14ac:dyDescent="0.25">
      <c r="D489" s="119" t="s">
        <v>642</v>
      </c>
      <c r="E489" s="119" t="s">
        <v>802</v>
      </c>
      <c r="F489" s="119" t="s">
        <v>710</v>
      </c>
      <c r="G489" s="118" t="s">
        <v>1141</v>
      </c>
      <c r="H489" s="118" t="s">
        <v>1142</v>
      </c>
      <c r="I489" s="119" t="s">
        <v>1143</v>
      </c>
      <c r="J489" s="119" t="s">
        <v>1160</v>
      </c>
      <c r="K489" s="118" t="s">
        <v>1144</v>
      </c>
      <c r="L489" s="119" t="s">
        <v>1063</v>
      </c>
      <c r="M489" s="119" t="s">
        <v>1064</v>
      </c>
      <c r="N489" s="119" t="s">
        <v>1065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1146</v>
      </c>
      <c r="H490" s="25" t="s">
        <v>1146</v>
      </c>
      <c r="I490" s="86">
        <v>4</v>
      </c>
      <c r="J490" s="23" t="s">
        <v>1161</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1146</v>
      </c>
      <c r="H491" s="25" t="s">
        <v>1146</v>
      </c>
      <c r="I491" s="86">
        <v>2</v>
      </c>
      <c r="J491" s="23" t="s">
        <v>1161</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1146</v>
      </c>
      <c r="H492" s="25" t="s">
        <v>1146</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1146</v>
      </c>
      <c r="H493" s="25" t="s">
        <v>1146</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1146</v>
      </c>
      <c r="H494" s="25" t="s">
        <v>1146</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1146</v>
      </c>
      <c r="H495" s="25" t="s">
        <v>1146</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1146</v>
      </c>
      <c r="H496" s="25" t="s">
        <v>1146</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1146</v>
      </c>
      <c r="H497" s="25" t="s">
        <v>1146</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1146</v>
      </c>
      <c r="H498" s="25" t="s">
        <v>1146</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1146</v>
      </c>
      <c r="H499" s="25" t="s">
        <v>1146</v>
      </c>
      <c r="I499" s="86"/>
      <c r="J499" s="23"/>
      <c r="K499" s="263" cm="1">
        <f t="array" ref="K499">Scope3_Equations.VEERG_15_10_1_1__1_OtherPurchasedGoodsAndServices(E499,IF(J499="kg / amount unit", I499*10^-3, I499))</f>
        <v>0</v>
      </c>
      <c r="L499" s="44"/>
      <c r="M499" s="23"/>
      <c r="N499" s="44"/>
    </row>
    <row r="501" spans="3:41" ht="20.25" x14ac:dyDescent="0.25">
      <c r="D501" s="264" t="s">
        <v>1059</v>
      </c>
      <c r="E501" s="122" t="s">
        <v>1146</v>
      </c>
      <c r="F501" s="123" t="str">
        <f>$E$155</f>
        <v>t CO2e</v>
      </c>
    </row>
    <row r="502" spans="3:41" ht="20.25" x14ac:dyDescent="0.25">
      <c r="D502" s="264" t="s">
        <v>1062</v>
      </c>
      <c r="E502" s="122">
        <f>SUM(K490:K499)</f>
        <v>4000</v>
      </c>
      <c r="F502" s="123" t="str">
        <f>$E$155</f>
        <v>t CO2e</v>
      </c>
    </row>
    <row r="505" spans="3:41" x14ac:dyDescent="0.25">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c r="AA505" s="120"/>
      <c r="AB505" s="120"/>
      <c r="AC505" s="120"/>
      <c r="AD505" s="120"/>
      <c r="AE505" s="120"/>
      <c r="AF505" s="120"/>
      <c r="AG505" s="120"/>
      <c r="AH505" s="120"/>
      <c r="AI505" s="120"/>
      <c r="AJ505" s="120"/>
      <c r="AK505" s="120"/>
      <c r="AL505" s="120"/>
      <c r="AM505" s="120"/>
      <c r="AN505" s="120"/>
      <c r="AO505" s="12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7" t="s">
        <v>258</v>
      </c>
      <c r="E508" s="107" t="str" cm="1">
        <f t="array" aca="1" ref="E508" ca="1">Common_InputFunctions.Utility_DisplayFunctionName(E518)</f>
        <v>=Scope3_Equations.VEERG_15_11_1_1__1_TotalUpstreamEmissionsFromFuel</v>
      </c>
    </row>
    <row r="512" spans="3:41" x14ac:dyDescent="0.25">
      <c r="D512" s="88" t="s">
        <v>260</v>
      </c>
      <c r="E512" s="1" t="str" cm="1">
        <f t="array" ref="E512">Scope3_Equations.VEERG_15_11_1_1__1_TotalUpstreamEmissionsFromFuel_Variable()</f>
        <v>E</v>
      </c>
    </row>
    <row r="513" spans="3:41" x14ac:dyDescent="0.25">
      <c r="D513" s="88" t="s">
        <v>132</v>
      </c>
      <c r="E513" s="15" t="str" cm="1">
        <f t="array" ref="E513">Scope3_Equations.VEERG_15_11_1_1__1_TotalUpstreamEmissionsFromFuel_Unit()</f>
        <v>t CO2e</v>
      </c>
    </row>
    <row r="515" spans="3:41" x14ac:dyDescent="0.25">
      <c r="D515" s="109" t="str" cm="1">
        <f t="array" ref="D515:E516">_xlfn.CHOOSECOLS(Scope3_Equations.VEERG_15_11_1_1__1_TotalUpstreamEmissionsFromFuel_Arguments(),1,2)</f>
        <v>E_WTTtransq</v>
      </c>
      <c r="E515" s="110" t="str">
        <v>upstream emissions from scope 1 transport fuel use</v>
      </c>
      <c r="F515" s="112"/>
      <c r="G515" s="109" t="str" cm="1">
        <f t="array" ref="G515:H516">_xlfn.CHOOSECOLS(Scope3_Equations.VEERG_15_11_1_1__1_TotalUpstreamEmissionsFromFuel_Arguments(),3,4)</f>
        <v>t CO2e</v>
      </c>
      <c r="H515" s="114" t="str">
        <v>Calculated by 15.11.1.1 (2)</v>
      </c>
      <c r="I515" s="109">
        <f>VEERG_8_1_1_1__1_FuelCombustionTransport_Result</f>
        <v>20.5016</v>
      </c>
    </row>
    <row r="516" spans="3:41" x14ac:dyDescent="0.25">
      <c r="D516" s="109" t="str">
        <v>E_WTTSCq</v>
      </c>
      <c r="E516" s="110" t="str">
        <v>upstream emissions from scope 1 stationary combustion fuel use</v>
      </c>
      <c r="F516" s="112"/>
      <c r="G516" s="109" t="str">
        <v>t CO2e</v>
      </c>
      <c r="H516" s="114" t="str">
        <v>Calculated by 15.11.1.1 (3)</v>
      </c>
      <c r="I516" s="109">
        <f>VEERG_8_2_1_1__1_FuelCombustionStationary_Result</f>
        <v>6.2923999999999998</v>
      </c>
    </row>
    <row r="518" spans="3:41" ht="20.25" x14ac:dyDescent="0.25">
      <c r="D518" s="264" t="s">
        <v>1162</v>
      </c>
      <c r="E518" s="122" cm="1">
        <f t="array" ref="E518">Scope3_Equations.VEERG_15_11_1_1__1_TotalUpstreamEmissionsFromFuel(I515,I516)</f>
        <v>26.794</v>
      </c>
      <c r="F518" s="123" t="str">
        <f>$E$155</f>
        <v>t CO2e</v>
      </c>
    </row>
    <row r="520" spans="3:41" x14ac:dyDescent="0.25">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c r="AA520" s="120"/>
      <c r="AB520" s="120"/>
      <c r="AC520" s="120"/>
      <c r="AD520" s="120"/>
      <c r="AE520" s="120"/>
      <c r="AF520" s="120"/>
      <c r="AG520" s="120"/>
      <c r="AH520" s="120"/>
      <c r="AI520" s="120"/>
      <c r="AJ520" s="120"/>
      <c r="AK520" s="120"/>
      <c r="AL520" s="120"/>
      <c r="AM520" s="120"/>
      <c r="AN520" s="120"/>
      <c r="AO520" s="12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7" t="s">
        <v>258</v>
      </c>
      <c r="E523" s="107" t="str" cm="1">
        <f t="array" aca="1" ref="E523" ca="1">Common_InputFunctions.Utility_DisplayFunctionName(E533)</f>
        <v>=Scope3_Equations.VEERG_15_12_1_1__1_UpstreamPurchasedElectricityLocationBased</v>
      </c>
    </row>
    <row r="526" spans="3:41" x14ac:dyDescent="0.25">
      <c r="D526" s="88" t="s">
        <v>260</v>
      </c>
      <c r="E526" s="1" t="str" cm="1">
        <f t="array" ref="E526">Scope3_Equations.VEERG_15_12_1_1__1_UpstreamPurchasedElectricityLocationBased_Variable()</f>
        <v>E_3elec</v>
      </c>
    </row>
    <row r="527" spans="3:41" x14ac:dyDescent="0.25">
      <c r="D527" s="88" t="s">
        <v>132</v>
      </c>
      <c r="E527" s="1" t="str" cm="1">
        <f t="array" ref="E527">Scope3_Equations.VEERG_15_12_1_1__1_UpstreamPurchasedElectricityLocationBased_Unit()</f>
        <v>t CO2e</v>
      </c>
    </row>
    <row r="529" spans="3:41" x14ac:dyDescent="0.25">
      <c r="D529" s="109" t="str" cm="1">
        <f t="array" ref="D529:E531">_xlfn.CHOOSECOLS(Scope3_Equations.VEERG_15_12_1_1__1_UpstreamPurchasedElectricityLocationBased_Arguments(),1,2)</f>
        <v>Q_elec</v>
      </c>
      <c r="E529" s="109" t="str">
        <v>amount of electricity purchased from the grid</v>
      </c>
      <c r="F529" s="109"/>
      <c r="G529" s="109" t="str" cm="1">
        <f t="array" ref="G529:H531">_xlfn.CHOOSECOLS(Scope3_Equations.VEERG_15_12_1_1__1_UpstreamPurchasedElectricityLocationBased_Arguments(),3,4)</f>
        <v>kWh</v>
      </c>
      <c r="H529" s="261" t="str">
        <v>Input</v>
      </c>
      <c r="I529" s="110">
        <f>X_Cell_Electricity_Location_AmountPurchasedInkWh</f>
        <v>30000</v>
      </c>
      <c r="J529" s="112"/>
    </row>
    <row r="530" spans="3:41" x14ac:dyDescent="0.25">
      <c r="D530" s="109" t="str">
        <v>EF_3elec</v>
      </c>
      <c r="E530" s="109" t="str">
        <v>scope 3 emission factor for purchased electricity</v>
      </c>
      <c r="F530" s="109"/>
      <c r="G530" s="109" t="str">
        <v>kg CO2e/kWh</v>
      </c>
      <c r="H530" s="114" t="str">
        <v>Constant</v>
      </c>
      <c r="I530" s="110" cm="1">
        <f t="array" ref="I530">Common_InputFunctions.Utility_LookupValueInTableNumber(I531,Table_SourceData_ElectricityEFs[State, Territory or grid description],Table_SourceData_ElectricityEFs[Scope 3 Emission Factors (kg CO2-e/kWh)])</f>
        <v>0.09</v>
      </c>
      <c r="J530" s="112"/>
    </row>
    <row r="531" spans="3:41" x14ac:dyDescent="0.25">
      <c r="D531" s="109" t="str">
        <v>g</v>
      </c>
      <c r="E531" s="110" t="str">
        <v>grid electricity was purchased from</v>
      </c>
      <c r="F531" s="112"/>
      <c r="G531" s="109" t="str">
        <v/>
      </c>
      <c r="H531" s="261" t="str">
        <v>Input</v>
      </c>
      <c r="I531" s="110" t="str">
        <f>X_Cell_Electricity_Location_GridElectricityPurchasedFrom</f>
        <v>Western Australia - North Western Interconnected System (NWIS)</v>
      </c>
      <c r="J531" s="112"/>
    </row>
    <row r="533" spans="3:41" ht="20.25" x14ac:dyDescent="0.25">
      <c r="D533" s="264" t="s">
        <v>1163</v>
      </c>
      <c r="E533" s="122" cm="1">
        <f t="array" ref="E533">Scope3_Equations.VEERG_15_12_1_1__1_UpstreamPurchasedElectricityLocationBased(I529,I530)</f>
        <v>2.7</v>
      </c>
      <c r="F533" s="123" t="str">
        <f>$E$155</f>
        <v>t CO2e</v>
      </c>
    </row>
    <row r="536" spans="3:41" x14ac:dyDescent="0.25">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c r="AA536" s="120"/>
      <c r="AB536" s="120"/>
      <c r="AC536" s="120"/>
      <c r="AD536" s="120"/>
      <c r="AE536" s="120"/>
      <c r="AF536" s="120"/>
      <c r="AG536" s="120"/>
      <c r="AH536" s="120"/>
      <c r="AI536" s="120"/>
      <c r="AJ536" s="120"/>
      <c r="AK536" s="120"/>
      <c r="AL536" s="120"/>
      <c r="AM536" s="120"/>
      <c r="AN536" s="120"/>
      <c r="AO536" s="12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7" t="s">
        <v>258</v>
      </c>
      <c r="E540" s="107" t="str" cm="1">
        <f t="array" aca="1" ref="E540" ca="1">Common_InputFunctions.Utility_DisplayFunctionName(E555)</f>
        <v>=Scope3_Equations.VEERG_15_12_1_2__1_UpstreamPurchasedElectricityMarketBasedVariation</v>
      </c>
    </row>
    <row r="544" spans="3:41" x14ac:dyDescent="0.25">
      <c r="D544" s="88" t="s">
        <v>260</v>
      </c>
      <c r="E544" s="1" t="str" cm="1">
        <f t="array" ref="E544">Scope3_Equations.VEERG_15_12_1_2__1_UpstreamPurchasedElectricityMarketBased_Variable()</f>
        <v>E_3elec</v>
      </c>
    </row>
    <row r="545" spans="3:41" x14ac:dyDescent="0.25">
      <c r="D545" s="88" t="s">
        <v>132</v>
      </c>
      <c r="E545" s="1" t="str" cm="1">
        <f t="array" ref="E545">Scope3_Equations.VEERG_15_12_1_2__1_UpstreamPurchasedElectricityMarketBased_Unit()</f>
        <v>t CO2e</v>
      </c>
    </row>
    <row r="547" spans="3:41" x14ac:dyDescent="0.25">
      <c r="D547" s="109" t="str" cm="1">
        <f t="array" ref="D547:E553">_xlfn.CHOOSECOLS(Scope3_Equations.VEERG_15_12_1_2__1_UpstreamPurchasedElectricityMarketBased_Arguments(),1,2)</f>
        <v>Q_elec</v>
      </c>
      <c r="E547" s="110" t="str">
        <v>amount of electricity purchased from the grid</v>
      </c>
      <c r="F547" s="112"/>
      <c r="G547" s="109"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9" t="str">
        <v>RPP</v>
      </c>
      <c r="E548" s="110" t="str">
        <v>renewable power percentage under LRET for the applicable period</v>
      </c>
      <c r="F548" s="112"/>
      <c r="G548" s="109" t="str">
        <v>fraction</v>
      </c>
      <c r="H548" s="261" t="str">
        <v>Input</v>
      </c>
      <c r="I548" s="195">
        <f>X_Cell_Electricity_Market_RenewablePowerPercentage</f>
        <v>0.1</v>
      </c>
    </row>
    <row r="549" spans="3:41" x14ac:dyDescent="0.25">
      <c r="D549" s="109" t="str">
        <v>JRPP</v>
      </c>
      <c r="E549" s="110" t="str">
        <v>jurisdictional renewable power percentage for the applicable period</v>
      </c>
      <c r="F549" s="112"/>
      <c r="G549" s="109" t="str">
        <v>fraction</v>
      </c>
      <c r="H549" s="261" t="str">
        <v>Input</v>
      </c>
      <c r="I549" s="195">
        <f>X_Cell_Electricity_Market_JurisdictionalRenewablePowerPercentage</f>
        <v>0.1</v>
      </c>
    </row>
    <row r="550" spans="3:41" x14ac:dyDescent="0.25">
      <c r="D550" s="109" t="str">
        <v>REC_surrendered</v>
      </c>
      <c r="E550" s="110" t="str">
        <v>eligible renewable energy certificates voluntarily surrendered</v>
      </c>
      <c r="F550" s="112"/>
      <c r="G550" s="109" t="str">
        <v>MWh</v>
      </c>
      <c r="H550" s="261" t="str">
        <v>Input</v>
      </c>
      <c r="I550" s="109">
        <f>(X_Cell_Electricity_Market_AmountPurchasedGreenPower*10^-3)+X_Cell_TotalElegibleVoluntarilySurrenderedRECs</f>
        <v>10</v>
      </c>
    </row>
    <row r="551" spans="3:41" x14ac:dyDescent="0.25">
      <c r="D551" s="109" t="str">
        <v>REC_onsite</v>
      </c>
      <c r="E551" s="110" t="str">
        <v>eligible renewable energy certificates issued for onsite generated electricity</v>
      </c>
      <c r="F551" s="112"/>
      <c r="G551" s="109" t="str">
        <v>MWh</v>
      </c>
      <c r="H551" s="261" t="str">
        <v>Input</v>
      </c>
      <c r="I551" s="109">
        <f>X_Cell_TotalElegibleRECsForElectricityProducedOnSite</f>
        <v>0</v>
      </c>
    </row>
    <row r="552" spans="3:41" x14ac:dyDescent="0.25">
      <c r="D552" s="109" t="str">
        <v>EF_RMF3elec</v>
      </c>
      <c r="E552" s="110" t="str">
        <v>scope 3 residual mix emission factor for electricity</v>
      </c>
      <c r="F552" s="112"/>
      <c r="G552" s="109" t="str">
        <v>kg CO2e/kWh</v>
      </c>
      <c r="H552" s="114" t="str">
        <v>Constant</v>
      </c>
      <c r="I552" s="109" cm="1">
        <f t="array" ref="I552">Table_SourceData_ElectricityEFsMarketBased[Scope 3 EF (kg CO2-e/kWh)]</f>
        <v>0.1</v>
      </c>
    </row>
    <row r="553" spans="3:41" x14ac:dyDescent="0.25">
      <c r="D553" s="109" t="str">
        <v>i</v>
      </c>
      <c r="E553" s="110" t="str">
        <v>state</v>
      </c>
      <c r="F553" s="112"/>
      <c r="G553" s="109" t="str">
        <v/>
      </c>
      <c r="H553" s="261" t="str">
        <v>Input</v>
      </c>
      <c r="I553" s="109" t="str">
        <f>X_Cell_Site_State</f>
        <v>Western Australia</v>
      </c>
    </row>
    <row r="555" spans="3:41" ht="20.25" x14ac:dyDescent="0.25">
      <c r="D555" s="264" t="s">
        <v>1163</v>
      </c>
      <c r="E555" s="122" cm="1">
        <f t="array" ref="E555">Scope3_Equations.VEERG_15_12_1_2__1_UpstreamPurchasedElectricityMarketBasedVariation(I547,I548,I549,I550,I551,I552)</f>
        <v>1.4000000000000001</v>
      </c>
      <c r="F555" s="123" t="str">
        <f>$E$155</f>
        <v>t CO2e</v>
      </c>
    </row>
    <row r="558" spans="3:41" x14ac:dyDescent="0.25">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c r="AA558" s="120"/>
      <c r="AB558" s="120"/>
      <c r="AC558" s="120"/>
      <c r="AD558" s="120"/>
      <c r="AE558" s="120"/>
      <c r="AF558" s="120"/>
      <c r="AG558" s="120"/>
      <c r="AH558" s="120"/>
      <c r="AI558" s="120"/>
      <c r="AJ558" s="120"/>
      <c r="AK558" s="120"/>
      <c r="AL558" s="120"/>
      <c r="AM558" s="120"/>
      <c r="AN558" s="120"/>
      <c r="AO558" s="12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7" t="s">
        <v>258</v>
      </c>
      <c r="E561" s="107" t="str" cm="1">
        <f t="array" aca="1" ref="E561" ca="1">Common_InputFunctions.Utility_DisplayFunctionName(E573)</f>
        <v>=Scope3_Equations.VEERG_15_13_1_1__1_EmissionsFromManureSentOffSite</v>
      </c>
    </row>
    <row r="564" spans="4:18" x14ac:dyDescent="0.25">
      <c r="D564" s="88" t="s">
        <v>260</v>
      </c>
      <c r="E564" s="1" t="str" cm="1">
        <f t="array" ref="E564">Scope3_Equations.VEERG_15_13_1_1__1_EmissionsFromManureSentOffSite_Variable()</f>
        <v>E</v>
      </c>
    </row>
    <row r="565" spans="4:18" x14ac:dyDescent="0.25">
      <c r="D565" s="88" t="s">
        <v>132</v>
      </c>
      <c r="E565" s="15" t="str" cm="1">
        <f t="array" ref="E565">Scope3_Equations.VEERG_15_13_1_1__1_EmissionsFromManureSentOffSite_Unit()</f>
        <v>t N2O</v>
      </c>
    </row>
    <row r="567" spans="4:18" x14ac:dyDescent="0.25">
      <c r="D567" s="35" t="s">
        <v>151</v>
      </c>
      <c r="L567" s="35" t="s">
        <v>152</v>
      </c>
    </row>
    <row r="569" spans="4:18" x14ac:dyDescent="0.25">
      <c r="D569" s="109" t="str" cm="1">
        <f t="array" ref="D569:E571">_xlfn.CHOOSECOLS(Scope3_Equations.VEERG_15_13_1_1__1_EmissionsFromManureSentOffSite_Arguments(),1,2)</f>
        <v>E_N2O</v>
      </c>
      <c r="E569" s="110" t="str">
        <v>direct nitrous oxide emissions from application of manure to soils outside of scope 1 boundary</v>
      </c>
      <c r="F569" s="111"/>
      <c r="G569" s="112"/>
      <c r="H569" s="109" t="str" cm="1">
        <f t="array" ref="H569:I571">_xlfn.CHOOSECOLS(Scope3_Equations.VEERG_15_13_1_1__1_EmissionsFromManureSentOffSite_Arguments(),3,4)</f>
        <v>t N2O</v>
      </c>
      <c r="I569" s="114" t="str">
        <v>Calculated</v>
      </c>
      <c r="J569" s="109">
        <f>VEERG_5_2_1_1__1_OrganicFertiliserApplicationN2OEmissions_Result_Method1</f>
        <v>7.8571428571428577E-3</v>
      </c>
      <c r="L569" s="109" t="str" cm="1">
        <f t="array" ref="L569:M571">_xlfn.CHOOSECOLS(Scope3_Equations.VEERG_15_13_1_1__1_EmissionsFromManureSentOffSite_Arguments(),1,2)</f>
        <v>E_N2O</v>
      </c>
      <c r="M569" s="110" t="str">
        <v>direct nitrous oxide emissions from application of manure to soils outside of scope 1 boundary</v>
      </c>
      <c r="N569" s="111"/>
      <c r="O569" s="112"/>
      <c r="P569" s="109" t="str" cm="1">
        <f t="array" ref="P569:Q571">_xlfn.CHOOSECOLS(Scope3_Equations.VEERG_15_13_1_1__1_EmissionsFromManureSentOffSite_Arguments(),3,4)</f>
        <v>t N2O</v>
      </c>
      <c r="Q569" s="114" t="str">
        <v>Calculated</v>
      </c>
      <c r="R569" s="109">
        <f>VEERG_5_2_1_1__1_OrganicFertiliserApplicationN2OEmissions_Result_Method2</f>
        <v>1.5714285714285715E-2</v>
      </c>
    </row>
    <row r="570" spans="4:18" x14ac:dyDescent="0.25">
      <c r="D570" s="109" t="str">
        <v>E_ad</v>
      </c>
      <c r="E570" s="110" t="str">
        <v>nitrous oxide emissions from atmospheric deposition of manure to soils</v>
      </c>
      <c r="F570" s="111"/>
      <c r="G570" s="112"/>
      <c r="H570" s="109" t="str">
        <v>t N2O</v>
      </c>
      <c r="I570" s="114" t="str">
        <v>Calculated</v>
      </c>
      <c r="J570" s="109">
        <f>VEERG_5_4_1_3__1_OrganicFertiliserAtmosphericDepositionN2OEmissions_Result_Method1</f>
        <v>2.31E-3</v>
      </c>
      <c r="L570" s="109" t="str">
        <v>E_ad</v>
      </c>
      <c r="M570" s="110" t="str">
        <v>nitrous oxide emissions from atmospheric deposition of manure to soils</v>
      </c>
      <c r="N570" s="111"/>
      <c r="O570" s="112"/>
      <c r="P570" s="109" t="str">
        <v>t N2O</v>
      </c>
      <c r="Q570" s="114" t="str">
        <v>Calculated</v>
      </c>
      <c r="R570" s="109">
        <f>VEERG_5_4_1_3__1_OrganicFertiliserAtmosphericDepositionN2OEmissions_Result_Method2</f>
        <v>4.62E-3</v>
      </c>
    </row>
    <row r="571" spans="4:18" x14ac:dyDescent="0.25">
      <c r="D571" s="109" t="str">
        <v>E_leach</v>
      </c>
      <c r="E571" s="110" t="str">
        <v>nitrous oxide emissions from nitrogen leaching and runoff of manure to soils</v>
      </c>
      <c r="F571" s="111"/>
      <c r="G571" s="112"/>
      <c r="H571" s="109" t="str">
        <v>t N2O</v>
      </c>
      <c r="I571" s="114" t="str">
        <v>Calculated</v>
      </c>
      <c r="J571" s="109">
        <f>VEERG_5_5_1_1__1_FertiliserLeachingAndRunoffN2OEmissions_Result_Method1</f>
        <v>4.1485714285714277E-3</v>
      </c>
      <c r="L571" s="109" t="str">
        <v>E_leach</v>
      </c>
      <c r="M571" s="110" t="str">
        <v>nitrous oxide emissions from nitrogen leaching and runoff of manure to soils</v>
      </c>
      <c r="N571" s="111"/>
      <c r="O571" s="112"/>
      <c r="P571" s="109" t="str">
        <v>t N2O</v>
      </c>
      <c r="Q571" s="114" t="str">
        <v>Calculated</v>
      </c>
      <c r="R571" s="109">
        <f>VEERG_5_5_1_1__1_FertiliserLeachingAndRunoffN2OEmissions_Result_Method2</f>
        <v>8.2971428571428554E-3</v>
      </c>
    </row>
    <row r="573" spans="4:18" ht="20.25" x14ac:dyDescent="0.25">
      <c r="D573" s="264" t="s">
        <v>1163</v>
      </c>
      <c r="E573" s="122" cm="1">
        <f t="array" ref="E573">Scope3_Equations.VEERG_15_13_1_1__1_EmissionsFromManureSentOffSite(J569,J570,J571)</f>
        <v>1.4315714285714286E-2</v>
      </c>
      <c r="F573" s="123" t="str">
        <f>$E$565</f>
        <v>t N2O</v>
      </c>
      <c r="L573" s="264" t="s">
        <v>1163</v>
      </c>
      <c r="M573" s="122" cm="1">
        <f t="array" ref="M573">Scope3_Equations.VEERG_15_13_1_1__1_EmissionsFromManureSentOffSite(R569,R570,R571)</f>
        <v>2.8631428571428572E-2</v>
      </c>
      <c r="N573" s="123" t="str">
        <f>$E$565</f>
        <v>t N2O</v>
      </c>
    </row>
    <row r="575" spans="4:18" x14ac:dyDescent="0.25">
      <c r="D575" s="124" t="str" cm="1">
        <f t="array" ref="D575:E576">Common_Equations.Common_ConvertN2OToCO2e_Arguments()</f>
        <v>EN2O</v>
      </c>
      <c r="E575" s="125" t="str">
        <v>Nitrous oxide emissions (t N2O)</v>
      </c>
      <c r="F575" s="126"/>
      <c r="G575" s="25">
        <f>E573</f>
        <v>1.4315714285714286E-2</v>
      </c>
      <c r="L575" s="124" t="str" cm="1">
        <f t="array" ref="L575:M576">Common_Equations.Common_ConvertN2OToCO2e_Arguments()</f>
        <v>EN2O</v>
      </c>
      <c r="M575" s="125" t="str">
        <v>Nitrous oxide emissions (t N2O)</v>
      </c>
      <c r="N575" s="126"/>
      <c r="O575" s="25">
        <f>M573</f>
        <v>2.8631428571428572E-2</v>
      </c>
    </row>
    <row r="576" spans="4:18" x14ac:dyDescent="0.25">
      <c r="D576" s="124" t="str">
        <v>GWPN2O</v>
      </c>
      <c r="E576" s="125" t="str">
        <v>Global warming potential for nitrous oxide (t CO2-e / t N2O)</v>
      </c>
      <c r="F576" s="126"/>
      <c r="G576" s="25">
        <f>Common_InputFunctions.Utility_LookupValueInTableNumber("N2O",Table_GWPData[Gas],Table_GWPData[CO2-e factor])</f>
        <v>265</v>
      </c>
      <c r="L576" s="124" t="str">
        <v>GWPN2O</v>
      </c>
      <c r="M576" s="125" t="str">
        <v>Global warming potential for nitrous oxide (t CO2-e / t N2O)</v>
      </c>
      <c r="N576" s="126"/>
      <c r="O576" s="25">
        <f>Common_InputFunctions.Utility_LookupValueInTableNumber("N2O",Table_GWPData[Gas],Table_GWPData[CO2-e factor])</f>
        <v>265</v>
      </c>
    </row>
    <row r="578" spans="3:41" ht="18.75" x14ac:dyDescent="0.25">
      <c r="D578" s="120" t="s">
        <v>298</v>
      </c>
      <c r="E578" s="120" cm="1">
        <f t="array" ref="E578">Common_Equations.Common_ConvertN2OToCO2e(G575,G576)</f>
        <v>3.7936642857142857</v>
      </c>
      <c r="F578" s="127" t="str" cm="1">
        <f t="array" ref="F578">Common_Equations.Common_ConvertN2OToCO2e_Unit()</f>
        <v>t CO2e</v>
      </c>
      <c r="L578" s="120" t="s">
        <v>298</v>
      </c>
      <c r="M578" s="120" cm="1">
        <f t="array" ref="M578">Common_Equations.Common_ConvertN2OToCO2e(O575,O576)</f>
        <v>7.5873285714285714</v>
      </c>
      <c r="N578" s="127" t="str" cm="1">
        <f t="array" ref="N578">Common_Equations.Common_ConvertN2OToCO2e_Unit()</f>
        <v>t CO2e</v>
      </c>
    </row>
    <row r="581" spans="3:41" x14ac:dyDescent="0.25">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c r="AA581" s="120"/>
      <c r="AB581" s="120"/>
      <c r="AC581" s="120"/>
      <c r="AD581" s="120"/>
      <c r="AE581" s="120"/>
      <c r="AF581" s="120"/>
      <c r="AG581" s="120"/>
      <c r="AH581" s="120"/>
      <c r="AI581" s="120"/>
      <c r="AJ581" s="120"/>
      <c r="AK581" s="120"/>
      <c r="AL581" s="120"/>
      <c r="AM581" s="120"/>
      <c r="AN581" s="120"/>
      <c r="AO581" s="12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260</v>
      </c>
      <c r="E585" s="1" t="str" cm="1">
        <f t="array" ref="E585">Scope3_Equations.VEERG_15_13_1_3__1_EmissionsFromSolidWasteTreatmentFacility_Variable()</f>
        <v>E</v>
      </c>
    </row>
    <row r="586" spans="3:41" x14ac:dyDescent="0.25">
      <c r="D586" s="88" t="s">
        <v>132</v>
      </c>
      <c r="E586" s="15" t="str" cm="1">
        <f t="array" ref="E586">Scope3_Equations.VEERG_15_13_1_3__1_EmissionsFromSolidWasteTreatmentFacility_Unit()</f>
        <v>t CO2e</v>
      </c>
    </row>
    <row r="588" spans="3:41" ht="20.25" x14ac:dyDescent="0.25">
      <c r="D588" s="264" t="s">
        <v>1163</v>
      </c>
      <c r="E588" s="122">
        <f>VEERG_10_1_1_1__1_EmissionsFromWasteManagement_Scope3_Result_Method1</f>
        <v>441.15000000000003</v>
      </c>
      <c r="F588" s="123" t="str">
        <f>E586</f>
        <v>t CO2e</v>
      </c>
    </row>
    <row r="591" spans="3:41" x14ac:dyDescent="0.25">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c r="AA591" s="120"/>
      <c r="AB591" s="120"/>
      <c r="AC591" s="120"/>
      <c r="AD591" s="120"/>
      <c r="AE591" s="120"/>
      <c r="AF591" s="120"/>
      <c r="AG591" s="120"/>
      <c r="AH591" s="120"/>
      <c r="AI591" s="120"/>
      <c r="AJ591" s="120"/>
      <c r="AK591" s="120"/>
      <c r="AL591" s="120"/>
      <c r="AM591" s="120"/>
      <c r="AN591" s="120"/>
      <c r="AO591" s="12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7" t="s">
        <v>258</v>
      </c>
      <c r="E594" s="107" t="str" cm="1">
        <f t="array" aca="1" ref="E594" ca="1">Common_InputFunctions.Utility_DisplayFunctionName(J609)</f>
        <v>=Scope3_Equations.VEERG_15_14_1_1__1_EmbeddedEmissionsFromUpstreamFreight</v>
      </c>
    </row>
    <row r="598" spans="4:13" x14ac:dyDescent="0.25">
      <c r="D598" s="88" t="s">
        <v>260</v>
      </c>
      <c r="E598" s="1" t="str" cm="1">
        <f t="array" ref="E598">Scope3_Equations.VEERG_15_14_1_1__1_EmbeddedEmissionsFromUpstreamFreight_Variable()</f>
        <v>E</v>
      </c>
    </row>
    <row r="599" spans="4:13" x14ac:dyDescent="0.25">
      <c r="D599" s="88" t="s">
        <v>132</v>
      </c>
      <c r="E599" s="15" t="str" cm="1">
        <f t="array" ref="E599">Scope3_Equations.VEERG_15_14_1_1__1_EmbeddedEmissionsFromUpstreamFreight_Unit()</f>
        <v>t CO2e</v>
      </c>
    </row>
    <row r="601" spans="4:13" x14ac:dyDescent="0.25">
      <c r="D601" s="109" t="str" cm="1">
        <f t="array" ref="D601:E604">_xlfn.CHOOSECOLS(Scope3_Equations.VEERG_15_14_1_1__1_EmbeddedEmissionsFromUpstreamFreight_Arguments(),1,2)</f>
        <v>W_f</v>
      </c>
      <c r="E601" s="110" t="str">
        <v>total mass of goods transported per freight type f</v>
      </c>
      <c r="F601" s="112"/>
      <c r="G601" s="109" t="str" cm="1">
        <f t="array" ref="G601:H604">_xlfn.CHOOSECOLS(Scope3_Equations.VEERG_15_14_1_1__1_EmbeddedEmissionsFromUpstreamFreight_Arguments(),3,4)</f>
        <v>t</v>
      </c>
      <c r="H601" s="261" t="str">
        <v>Input</v>
      </c>
    </row>
    <row r="602" spans="4:13" x14ac:dyDescent="0.25">
      <c r="D602" s="109" t="str">
        <v>D_f</v>
      </c>
      <c r="E602" s="110" t="str">
        <v>total distance transported per freight type f</v>
      </c>
      <c r="F602" s="112"/>
      <c r="G602" s="109" t="str">
        <v>km</v>
      </c>
      <c r="H602" s="261" t="str">
        <v>Input</v>
      </c>
    </row>
    <row r="603" spans="4:13" x14ac:dyDescent="0.25">
      <c r="D603" s="109" t="str">
        <v>EF_f</v>
      </c>
      <c r="E603" s="110" t="str">
        <v>emission factor for freight type f</v>
      </c>
      <c r="F603" s="112"/>
      <c r="G603" s="109" t="str">
        <v>t CO2e/(t km)</v>
      </c>
      <c r="H603" s="114" t="str">
        <v>Constant</v>
      </c>
    </row>
    <row r="604" spans="4:13" x14ac:dyDescent="0.25">
      <c r="D604" s="109" t="str">
        <v>f</v>
      </c>
      <c r="E604" s="110" t="str">
        <v>freight type</v>
      </c>
      <c r="F604" s="112"/>
      <c r="G604" s="109" t="str">
        <v/>
      </c>
      <c r="H604" s="261" t="str">
        <v>Input</v>
      </c>
    </row>
    <row r="606" spans="4:13" ht="18.75" x14ac:dyDescent="0.25">
      <c r="D606" s="249" t="s">
        <v>1029</v>
      </c>
    </row>
    <row r="608" spans="4:13" ht="17.25" x14ac:dyDescent="0.25">
      <c r="D608" s="119" t="s">
        <v>1164</v>
      </c>
      <c r="E608" s="119" t="s">
        <v>1165</v>
      </c>
      <c r="F608" s="119" t="s">
        <v>1166</v>
      </c>
      <c r="G608" s="118" t="s">
        <v>1167</v>
      </c>
      <c r="H608" s="118" t="s">
        <v>1059</v>
      </c>
      <c r="I608" s="119" t="s">
        <v>1107</v>
      </c>
      <c r="J608" s="118" t="s">
        <v>1062</v>
      </c>
      <c r="K608" s="119" t="s">
        <v>1063</v>
      </c>
      <c r="L608" s="119" t="s">
        <v>1064</v>
      </c>
      <c r="M608" s="119" t="s">
        <v>1065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1146</v>
      </c>
      <c r="H609" s="25" t="s">
        <v>1146</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1146</v>
      </c>
      <c r="H610" s="25" t="s">
        <v>1146</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1146</v>
      </c>
      <c r="H611" s="25" t="s">
        <v>1146</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1146</v>
      </c>
      <c r="H612" s="25" t="s">
        <v>1146</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1146</v>
      </c>
      <c r="H613" s="25" t="s">
        <v>1146</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1146</v>
      </c>
      <c r="H614" s="25" t="s">
        <v>1146</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1146</v>
      </c>
      <c r="H615" s="25" t="s">
        <v>1146</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1146</v>
      </c>
      <c r="H616" s="25" t="s">
        <v>1146</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1146</v>
      </c>
      <c r="H617" s="25" t="s">
        <v>1146</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1146</v>
      </c>
      <c r="H618" s="25" t="s">
        <v>1146</v>
      </c>
      <c r="I618" s="86"/>
      <c r="J618" s="25" cm="1">
        <f t="array" ref="J618">Scope3_Equations.VEERG_15_14_1_1__1_EmbeddedEmissionsFromUpstreamFreight(E618,F618,I618)</f>
        <v>0</v>
      </c>
      <c r="K618" s="44"/>
      <c r="L618" s="23"/>
      <c r="M618" s="44"/>
    </row>
    <row r="620" spans="4:13" x14ac:dyDescent="0.25">
      <c r="D620" s="132" t="s">
        <v>1168</v>
      </c>
      <c r="E620" s="120" t="s">
        <v>1146</v>
      </c>
      <c r="F620" s="127" t="str">
        <f>$E$104</f>
        <v>t CO2e</v>
      </c>
    </row>
    <row r="621" spans="4:13" x14ac:dyDescent="0.25">
      <c r="D621" s="132" t="s">
        <v>1169</v>
      </c>
      <c r="E621" s="120">
        <f>SUM(J609:J618)</f>
        <v>5146700</v>
      </c>
      <c r="F621" s="127" t="str">
        <f>$E$104</f>
        <v>t CO2e</v>
      </c>
    </row>
    <row r="624" spans="4:13" ht="18.75" x14ac:dyDescent="0.25">
      <c r="D624" s="249" t="s">
        <v>1039</v>
      </c>
    </row>
    <row r="626" spans="4:13" ht="17.25" x14ac:dyDescent="0.25">
      <c r="D626" s="119" t="s">
        <v>1164</v>
      </c>
      <c r="E626" s="119" t="s">
        <v>1165</v>
      </c>
      <c r="F626" s="119" t="s">
        <v>1166</v>
      </c>
      <c r="G626" s="118" t="s">
        <v>1167</v>
      </c>
      <c r="H626" s="118" t="s">
        <v>1059</v>
      </c>
      <c r="I626" s="119" t="s">
        <v>1107</v>
      </c>
      <c r="J626" s="118" t="s">
        <v>1062</v>
      </c>
      <c r="K626" s="119" t="s">
        <v>1063</v>
      </c>
      <c r="L626" s="119" t="s">
        <v>1064</v>
      </c>
      <c r="M626" s="119" t="s">
        <v>1065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1146</v>
      </c>
      <c r="H627" s="25" t="s">
        <v>1146</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1146</v>
      </c>
      <c r="H628" s="25" t="s">
        <v>1146</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1146</v>
      </c>
      <c r="H629" s="25" t="s">
        <v>1146</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1146</v>
      </c>
      <c r="H630" s="25" t="s">
        <v>1146</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1146</v>
      </c>
      <c r="H631" s="25" t="s">
        <v>1146</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1146</v>
      </c>
      <c r="H632" s="25" t="s">
        <v>1146</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1146</v>
      </c>
      <c r="H633" s="25" t="s">
        <v>1146</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1146</v>
      </c>
      <c r="H634" s="25" t="s">
        <v>1146</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1146</v>
      </c>
      <c r="H635" s="25" t="s">
        <v>1146</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1146</v>
      </c>
      <c r="H636" s="25" t="s">
        <v>1146</v>
      </c>
      <c r="I636" s="86"/>
      <c r="J636" s="25" cm="1">
        <f t="array" ref="J636">Scope3_Equations.VEERG_15_14_1_1__1_EmbeddedEmissionsFromUpstreamFreight(E636,F636,I636)</f>
        <v>0</v>
      </c>
      <c r="K636" s="44"/>
      <c r="L636" s="23"/>
      <c r="M636" s="44"/>
    </row>
    <row r="638" spans="4:13" x14ac:dyDescent="0.25">
      <c r="D638" s="132" t="s">
        <v>1170</v>
      </c>
      <c r="E638" s="120" t="s">
        <v>1146</v>
      </c>
      <c r="F638" s="127" t="str">
        <f>$E$104</f>
        <v>t CO2e</v>
      </c>
    </row>
    <row r="639" spans="4:13" x14ac:dyDescent="0.25">
      <c r="D639" s="132" t="s">
        <v>1171</v>
      </c>
      <c r="E639" s="120">
        <f>SUM(J627:J636)</f>
        <v>432640</v>
      </c>
      <c r="F639" s="127" t="str">
        <f>$E$104</f>
        <v>t CO2e</v>
      </c>
    </row>
    <row r="641" spans="4:6" ht="20.25" x14ac:dyDescent="0.25">
      <c r="D641" s="121" t="s">
        <v>1059</v>
      </c>
      <c r="E641" s="122" t="s">
        <v>1146</v>
      </c>
      <c r="F641" s="123" t="str">
        <f>$E$104</f>
        <v>t CO2e</v>
      </c>
    </row>
    <row r="642" spans="4:6" ht="20.25" x14ac:dyDescent="0.25">
      <c r="D642" s="121" t="s">
        <v>1062</v>
      </c>
      <c r="E642" s="122">
        <f>E621+E639</f>
        <v>5579340</v>
      </c>
      <c r="F642" s="123" t="str">
        <f>$E$104</f>
        <v>t CO2e</v>
      </c>
    </row>
  </sheetData>
  <dataValidations count="2">
    <dataValidation type="list" allowBlank="1" showInputMessage="1" showErrorMessage="1" sqref="J490:J499" xr:uid="{3F94467B-8000-44F6-9689-1B74EAF03ADF}">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E60EC91E-A42F-49FE-8D33-2008B1D4E903}">
      <formula1>INDIRECT("Table_SourceData_DataScores_Scope3[Data source]")</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3907B-1F66-4FA4-8F27-1C7E0827984E}">
  <sheetPr>
    <tabColor theme="9" tint="-0.249977111117893"/>
  </sheetPr>
  <dimension ref="A1:U160"/>
  <sheetViews>
    <sheetView showGridLines="0" topLeftCell="C61" workbookViewId="0" zoomScale="100" zoomScaleNormal="100">
      <selection activeCell="A55" sqref="A55"/>
    </sheetView>
  </sheetViews>
  <sheetFormatPr defaultRowHeight="15.75" x14ac:dyDescent="0.25"/>
  <cols>
    <col min="1" max="1" width="35" style="248" customWidth="1"/>
    <col min="2" max="2" width="5.28515625" style="248" customWidth="1"/>
    <col min="3" max="3" width="5.28515625" style="1" customWidth="1"/>
    <col min="4" max="10" width="35" style="1" customWidth="1"/>
    <col min="11" max="11" width="5.28515625" style="1" customWidth="1"/>
    <col min="12" max="12" width="5.28515625" style="248" customWidth="1"/>
    <col min="13" max="13" width="5.28515625" style="1" customWidth="1"/>
    <col min="14" max="20" width="35" style="1" customWidth="1"/>
    <col min="21" max="21" width="5.28515625" style="1" customWidth="1"/>
    <col min="22" max="16384" width="9.140625" style="248"/>
  </cols>
  <sheetData>
    <row r="1" spans="1:21" ht="30" customHeight="1" x14ac:dyDescent="0.35">
      <c r="A1" s="16" t="e" vm="1">
        <v>#VALUE!</v>
      </c>
      <c r="C1" s="31" t="s">
        <v>1172</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7" t="s">
        <v>258</v>
      </c>
      <c r="E7" s="107" t="str" cm="1">
        <f t="array" aca="1" ref="E7" ca="1">Common_InputFunctions.Utility_DisplayFunctionName(E19)</f>
        <v>=Fertiliser_Equations_OrganicN2O.VEERG_5_2_1_1__1_OrganicFertiliserApplicationN2OEmissions</v>
      </c>
      <c r="N7" s="107" t="s">
        <v>258</v>
      </c>
      <c r="O7" s="107"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260</v>
      </c>
      <c r="E10" s="1" t="str" cm="1">
        <f t="array" ref="E10">Fertiliser_Equations_OrganicN2O.VEERG_5_2_1_1__1_OrganicFertiliserApplicationN2OEmissions_Variable()</f>
        <v>E_N2O</v>
      </c>
      <c r="N10" s="88" t="s">
        <v>260</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132</v>
      </c>
      <c r="E11" s="15" t="str" cm="1">
        <f t="array" ref="E11">Fertiliser_Equations_OrganicN2O.VEERG_5_2_1_1__1_OrganicFertiliserApplicationN2OEmissions_Unit()</f>
        <v>t N2O</v>
      </c>
      <c r="N11" s="88" t="s">
        <v>132</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17">_xlfn.CHOOSECOLS(Fertiliser_Equations_OrganicN2O.VEERG_5_2_1_1__1_OrganicFertiliserApplicationN2OEmissions_Arguments(), 1, 2)</f>
        <v>MNSoil_jf</v>
      </c>
      <c r="E13" s="110" t="str">
        <v>mass of nitrogen in organic fertiliser type f applied to production system j</v>
      </c>
      <c r="F13" s="111"/>
      <c r="G13" s="112"/>
      <c r="H13" s="109" t="str" cm="1">
        <f t="array" ref="H13:I17">_xlfn.CHOOSECOLS(Fertiliser_Equations_OrganicN2O.VEERG_5_2_1_1__1_OrganicFertiliserApplicationN2OEmissions_Arguments(), 3,4)</f>
        <v>kg N</v>
      </c>
      <c r="I13" s="114" t="str">
        <v>Calculated from 5.2.1.1 (2)</v>
      </c>
      <c r="J13" s="109">
        <f>X_Cell_ManureSentOffsite_MassNitrogenManure_Method1</f>
        <v>1000</v>
      </c>
      <c r="N13" s="109" t="str" cm="1">
        <f t="array" ref="N13:O17">_xlfn.CHOOSECOLS(Fertiliser_Equations_OrganicN2O.VEERG_5_2_1_1__1_OrganicFertiliserApplicationN2OEmissions_Arguments(), 1, 2)</f>
        <v>MNSoil_jf</v>
      </c>
      <c r="O13" s="110" t="str">
        <v>mass of nitrogen in organic fertiliser type f applied to production system j</v>
      </c>
      <c r="P13" s="111"/>
      <c r="Q13" s="112"/>
      <c r="R13" s="109" t="str" cm="1">
        <f t="array" ref="R13:S17">_xlfn.CHOOSECOLS(Fertiliser_Equations_OrganicN2O.VEERG_5_2_1_1__1_OrganicFertiliserApplicationN2OEmissions_Arguments(), 3,4)</f>
        <v>kg N</v>
      </c>
      <c r="S13" s="114" t="str">
        <v>Calculated from 5.2.1.1 (2)</v>
      </c>
      <c r="T13" s="109">
        <f>X_Cell_ManureSentOffsite_MassNitrogenManure_Method2</f>
        <v>2000</v>
      </c>
    </row>
    <row r="14" spans="1:21" ht="20.100000000000001" customHeight="1" x14ac:dyDescent="0.25">
      <c r="A14" s="5" t="str">
        <f>HYPERLINK("#'Input - Fertiliser'!A1", "Fertiliser")</f>
        <v>Fertiliser</v>
      </c>
      <c r="D14" s="109" t="str">
        <v>EF_N2Oi</v>
      </c>
      <c r="E14" s="110" t="str">
        <v>emission factor for direct nitrous oxide emissions from organic fertiliser applied to soils and aquatic systems in climate zone i</v>
      </c>
      <c r="F14" s="111"/>
      <c r="G14" s="112"/>
      <c r="H14" s="109" t="str">
        <v>kg N2O-N/kg N</v>
      </c>
      <c r="I14" s="114" t="str">
        <v>Lookup</v>
      </c>
      <c r="J14" s="109">
        <f>Common_InputFunctions.Utility_LookupValueInTableNumber(J17, Table_SourceData_Common_EFOrganicFertCropResidues[Climate Zone],Table_SourceData_Common_EFOrganicFertCropResidues[EFNi &amp; EFN2Oi])</f>
        <v>5.0000000000000001E-3</v>
      </c>
      <c r="N14" s="109" t="str">
        <v>EF_N2Oi</v>
      </c>
      <c r="O14" s="110" t="str">
        <v>emission factor for direct nitrous oxide emissions from organic fertiliser applied to soils and aquatic systems in climate zone i</v>
      </c>
      <c r="P14" s="111"/>
      <c r="Q14" s="112"/>
      <c r="R14" s="109" t="str">
        <v>kg N2O-N/kg N</v>
      </c>
      <c r="S14" s="114" t="str">
        <v>Lookup</v>
      </c>
      <c r="T14" s="109"/>
    </row>
    <row r="15" spans="1:21" ht="20.100000000000001" customHeight="1" x14ac:dyDescent="0.25">
      <c r="A15" s="5" t="str">
        <f>HYPERLINK("#'Input - Fuel'!A1", "Fuel")</f>
        <v>Fuel</v>
      </c>
      <c r="D15" s="109" t="str">
        <v>C_N2O</v>
      </c>
      <c r="E15" s="110" t="str">
        <v>factor to convert elemental mass of nitrous oxide to molecular mass</v>
      </c>
      <c r="F15" s="111"/>
      <c r="G15" s="112"/>
      <c r="H15" s="109" t="str">
        <v/>
      </c>
      <c r="I15" s="114" t="str">
        <v>Constant</v>
      </c>
      <c r="J15" s="109">
        <f>Common_InputFunctions.Utility_LookupValueInTableNumber("N2O",Table_GasToMolecularConversionFactor[Gas],Table_GasToMolecularConversionFactor[Conversion factor combined])</f>
        <v>1.5714285714285714</v>
      </c>
      <c r="N15" s="109" t="str">
        <v>C_N2O</v>
      </c>
      <c r="O15" s="110" t="str">
        <v>factor to convert elemental mass of nitrous oxide to molecular mass</v>
      </c>
      <c r="P15" s="111"/>
      <c r="Q15" s="112"/>
      <c r="R15" s="109" t="str">
        <v/>
      </c>
      <c r="S15" s="114" t="str">
        <v>Constant</v>
      </c>
      <c r="T15" s="109"/>
    </row>
    <row r="16" spans="1:21" ht="20.100000000000001" customHeight="1" x14ac:dyDescent="0.25">
      <c r="A16" s="5" t="str">
        <f>HYPERLINK("#'Input - Electricity'!A1", "Electricity")</f>
        <v>Electricity</v>
      </c>
      <c r="D16" s="109" t="str">
        <v>j</v>
      </c>
      <c r="E16" s="110" t="str">
        <v>Production system</v>
      </c>
      <c r="F16" s="111"/>
      <c r="G16" s="112"/>
      <c r="H16" s="109" t="str">
        <v/>
      </c>
      <c r="I16" s="261" t="str">
        <v>Input</v>
      </c>
      <c r="J16" s="109" t="str">
        <f>X_Cell_ManureSentOffsite_ManureProductionSystem</f>
        <v>Crop</v>
      </c>
      <c r="N16" s="109" t="str">
        <v>j</v>
      </c>
      <c r="O16" s="110" t="str">
        <v>Production system</v>
      </c>
      <c r="P16" s="111"/>
      <c r="Q16" s="112"/>
      <c r="R16" s="109" t="str">
        <v/>
      </c>
      <c r="S16" s="261" t="str">
        <v>Input</v>
      </c>
      <c r="T16" s="109"/>
    </row>
    <row r="17" spans="1:20" ht="20.100000000000001" customHeight="1" x14ac:dyDescent="0.25">
      <c r="A17" s="5" t="str">
        <f>HYPERLINK("#'Input - Farm Inputs'!A1", "Farm Inputs")</f>
        <v>Farm Inputs</v>
      </c>
      <c r="D17" s="109" t="str">
        <v>i</v>
      </c>
      <c r="E17" s="110" t="str">
        <v>Wet or dry climate zone</v>
      </c>
      <c r="F17" s="111"/>
      <c r="G17" s="112"/>
      <c r="H17" s="109" t="str">
        <v/>
      </c>
      <c r="I17" s="261" t="str">
        <v>Input</v>
      </c>
      <c r="J17" s="109" t="str">
        <f>X_Cell_Site_WetOrDryClimateZone</f>
        <v>Dry climate zone</v>
      </c>
      <c r="N17" s="109" t="str">
        <v>i</v>
      </c>
      <c r="O17" s="110" t="str">
        <v>Wet or dry climate zone</v>
      </c>
      <c r="P17" s="111"/>
      <c r="Q17" s="112"/>
      <c r="R17" s="109" t="str">
        <v/>
      </c>
      <c r="S17" s="261" t="str">
        <v>Input</v>
      </c>
      <c r="T17" s="109"/>
    </row>
    <row r="18" spans="1:20" ht="20.100000000000001" customHeight="1" x14ac:dyDescent="0.25">
      <c r="A18" s="5" t="str">
        <f>HYPERLINK("#'Input - Freight'!A1", "Freight")</f>
        <v>Freight</v>
      </c>
    </row>
    <row r="19" spans="1:20" ht="20.100000000000001" customHeight="1" x14ac:dyDescent="0.25">
      <c r="A19" s="5" t="str">
        <f>HYPERLINK("#'Input - Manure sent off-site'!A1", "Manure sent off-site")</f>
        <v>Manure sent off-site</v>
      </c>
      <c r="D19" s="121" t="s">
        <v>565</v>
      </c>
      <c r="E19" s="122" cm="1">
        <f t="array" ref="E19">Fertiliser_Equations_OrganicN2O.VEERG_5_2_1_1__1_OrganicFertiliserApplicationN2OEmissions(J13,J14,J15)</f>
        <v>7.8571428571428577E-3</v>
      </c>
      <c r="F19" s="123" t="str">
        <f>$E$11</f>
        <v>t N2O</v>
      </c>
      <c r="N19" s="121" t="s">
        <v>565</v>
      </c>
      <c r="O19" s="122" cm="1">
        <f t="array" ref="O19">Fertiliser_Equations_OrganicN2O.VEERG_5_2_1_1__1_OrganicFertiliserApplicationN2OEmissions(T13,J14,J15)</f>
        <v>1.5714285714285715E-2</v>
      </c>
      <c r="P19" s="123" t="str">
        <f>$E$11</f>
        <v>t N2O</v>
      </c>
    </row>
    <row r="20" spans="1:20" ht="20.100000000000001" customHeight="1" x14ac:dyDescent="0.25">
      <c r="A20" s="5" t="str">
        <f>HYPERLINK("#'Input - Solid waste'!A1", "Solid waste")</f>
        <v>Solid waste</v>
      </c>
    </row>
    <row r="21" spans="1:20" ht="20.100000000000001" customHeight="1" x14ac:dyDescent="0.25">
      <c r="A21"/>
    </row>
    <row r="22" spans="1:20" ht="20.100000000000001" customHeight="1" x14ac:dyDescent="0.25">
      <c r="A22"/>
    </row>
    <row r="23" spans="1:20" ht="20.100000000000001" customHeight="1" x14ac:dyDescent="0.25">
      <c r="A23" s="6" t="s">
        <v>2</v>
      </c>
    </row>
    <row r="24" spans="1:20" ht="20.100000000000001" customHeight="1" x14ac:dyDescent="0.25">
      <c r="A24" s="5" t="str">
        <f>HYPERLINK("#'3.2.1.1-2 Enteric Methane'!A1", "3.2.1.1-2 Enteric methane")</f>
        <v>3.2.1.1-2 Enteric methane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HYPERLINK("#'4.2.1.1-2 Methane'!A1", "4.2.1.1-2 Manure methane")</f>
        <v>4.2.1.1-2 Manure methane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HYPERLINK("#'4.2.1.3-4 Soil direct N20'!A1", "4.2.1.3-4 Soil direct N2O")</f>
        <v>4.2.1.3-4 Soil direct N2O</v>
      </c>
      <c r="D26" s="107" t="s">
        <v>258</v>
      </c>
      <c r="E26" s="107" t="str" cm="1">
        <f t="array" aca="1" ref="E26" ca="1">Common_InputFunctions.Utility_DisplayFunctionName(E35)</f>
        <v>=Fertiliser_Equations_AtmosphericDeposition.VEERG_5_4_1_3__2_MassOfNitrogenVolatilisedFromOrganicFertiliser</v>
      </c>
      <c r="N26" s="107" t="s">
        <v>258</v>
      </c>
      <c r="O26" s="107"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HYPERLINK("#'4.2.1.5-6 Soil Atmos Dep'!A1", "4.2.1.5-6 Soil atm. deposition")</f>
        <v>4.2.1.5-6 Soil atm. deposition</v>
      </c>
    </row>
    <row r="28" spans="1:20" ht="20.100000000000001" customHeight="1" x14ac:dyDescent="0.25">
      <c r="A28" s="5" t="str">
        <f>HYPERLINK("#'4.2.1.7-8 Soil leach runoff'!A1", "4.2.1.7-8 Soil leach &amp; runoff")</f>
        <v>4.2.1.7-8 Soil leach &amp; runoff</v>
      </c>
    </row>
    <row r="29" spans="1:20" ht="20.100000000000001" customHeight="1" x14ac:dyDescent="0.25">
      <c r="A29" s="5" t="str">
        <f>HYPERLINK("#'5.1.1.1-2 Inorganic fert N2O'!A1", "5.1.1.1-2 Inorganic fert N2O")</f>
        <v>5.1.1.1-2 Inorganic fert N2O</v>
      </c>
      <c r="D29" s="88" t="s">
        <v>260</v>
      </c>
      <c r="E29" s="1" t="str" cm="1">
        <f t="array" ref="E29">Fertiliser_Equations_AtmosphericDeposition.VEERG_5_4_1_3__2_MassOfNitrogenVolatilisedFromOrganicFertiliser_Variable()</f>
        <v>M_volorganicjf</v>
      </c>
      <c r="N29" s="88" t="s">
        <v>260</v>
      </c>
      <c r="O29" s="1" t="str" cm="1">
        <f t="array" ref="O29">Fertiliser_Equations_AtmosphericDeposition.VEERG_5_4_1_3__2_MassOfNitrogenVolatilisedFromOrganicFertiliser_Variable()</f>
        <v>M_volorganicjf</v>
      </c>
    </row>
    <row r="30" spans="1:20" ht="20.100000000000001" customHeight="1" x14ac:dyDescent="0.25">
      <c r="A30" s="5" t="str">
        <f>HYPERLINK("#'5.1.1.3-4 Inorganic fert CO2'!A1", "5.1.1.3-4 Inorganic fert CO2")</f>
        <v>5.1.1.3-4 Inorganic fert CO2</v>
      </c>
      <c r="D30" s="88" t="s">
        <v>132</v>
      </c>
      <c r="E30" s="15" t="str" cm="1">
        <f t="array" ref="E30">Fertiliser_Equations_AtmosphericDeposition.VEERG_5_4_1_3__2_MassOfNitrogenVolatilisedFromOrganicFertiliser_Unit()</f>
        <v>kg N</v>
      </c>
      <c r="N30" s="88" t="s">
        <v>132</v>
      </c>
      <c r="O30" s="15" t="str" cm="1">
        <f t="array" ref="O30">Fertiliser_Equations_AtmosphericDeposition.VEERG_5_4_1_3__2_MassOfNitrogenVolatilisedFromOrganicFertiliser_Unit()</f>
        <v>kg N</v>
      </c>
    </row>
    <row r="31" spans="1:20" ht="20.100000000000001" customHeight="1" x14ac:dyDescent="0.25">
      <c r="A31" s="5" t="str">
        <f>HYPERLINK("#'5.2.1.1-2 Organic Fert N2O'!A1", "5.2.1.1-2 Organic fert N2O")</f>
        <v>5.2.1.1-2 Organic fert N2O</v>
      </c>
    </row>
    <row r="32" spans="1:20" ht="20.100000000000001" customHeight="1" x14ac:dyDescent="0.25">
      <c r="A32" s="5" t="str">
        <f>HYPERLINK("#'5.3.1.1-2 Lime CO2'!A1", "5.3.1.1-2 Lime CO2")</f>
        <v>5.3.1.1-2 Lime CO2</v>
      </c>
      <c r="D32" s="109" t="str" cm="1">
        <f t="array" ref="D32:E33">_xlfn.CHOOSECOLS(Fertiliser_Equations_AtmosphericDeposition.VEERG_5_4_1_3__2_MassOfNitrogenVolatilisedFromOrganicFertiliser_Arguments(), 1, 2)</f>
        <v>MNSoil_jf</v>
      </c>
      <c r="E32" s="109" t="str">
        <v>mass of nitrogen in organic fertiliser type f applied to production system j</v>
      </c>
      <c r="F32" s="109"/>
      <c r="G32" s="109" t="str" cm="1">
        <f t="array" ref="G32:H33">_xlfn.CHOOSECOLS(Fertiliser_Equations_AtmosphericDeposition.VEERG_5_4_1_3__2_MassOfNitrogenVolatilisedFromOrganicFertiliser_Arguments(), 3,4)</f>
        <v>kg N</v>
      </c>
      <c r="H32" s="114" t="str">
        <v>Calculated from 5.2.1.1 (2)</v>
      </c>
      <c r="I32" s="109">
        <f>X_Cell_ManureSentOffsite_MassNitrogenManure_Method1</f>
        <v>1000</v>
      </c>
      <c r="N32" s="109" t="str" cm="1">
        <f t="array" ref="N32:O33">_xlfn.CHOOSECOLS(Fertiliser_Equations_AtmosphericDeposition.VEERG_5_4_1_3__2_MassOfNitrogenVolatilisedFromOrganicFertiliser_Arguments(), 1, 2)</f>
        <v>MNSoil_jf</v>
      </c>
      <c r="O32" s="109" t="str">
        <v>mass of nitrogen in organic fertiliser type f applied to production system j</v>
      </c>
      <c r="P32" s="109"/>
      <c r="Q32" s="109" t="str" cm="1">
        <f t="array" ref="Q32:R33">_xlfn.CHOOSECOLS(Fertiliser_Equations_AtmosphericDeposition.VEERG_5_4_1_3__2_MassOfNitrogenVolatilisedFromOrganicFertiliser_Arguments(), 3,4)</f>
        <v>kg N</v>
      </c>
      <c r="R32" s="114" t="str">
        <v>Calculated from 5.2.1.1 (2)</v>
      </c>
      <c r="S32" s="109">
        <f>X_Cell_ManureSentOffsite_MassNitrogenManure_Method2</f>
        <v>2000</v>
      </c>
    </row>
    <row r="33" spans="1:19" ht="20.100000000000001" customHeight="1" x14ac:dyDescent="0.25">
      <c r="A33" s="5" t="str">
        <f>HYPERLINK("#'5.4.1.1-4 Atmos deposition'!A1", "5.4.1.1-4 Atmos. deposition")</f>
        <v>5.4.1.1-4 Atmos. deposition</v>
      </c>
      <c r="D33" s="109" t="str">
        <v>FracGASM_soil</v>
      </c>
      <c r="E33" s="109" t="str">
        <v>fraction of organic fertiliser N that volatilises</v>
      </c>
      <c r="F33" s="109"/>
      <c r="G33" s="109" t="str">
        <v>(kg NH3-N + NOx-N)/kg N</v>
      </c>
      <c r="H33" s="114" t="str">
        <v>Constant</v>
      </c>
      <c r="I33" s="109">
        <f>'Constants - Fertiliser'!$E$73</f>
        <v>0.21</v>
      </c>
      <c r="N33" s="109" t="str">
        <v>FracGASM_soil</v>
      </c>
      <c r="O33" s="109" t="str">
        <v>fraction of organic fertiliser N that volatilises</v>
      </c>
      <c r="P33" s="109"/>
      <c r="Q33" s="109" t="str">
        <v>(kg NH3-N + NOx-N)/kg N</v>
      </c>
      <c r="R33" s="114" t="str">
        <v>Constant</v>
      </c>
      <c r="S33" s="109"/>
    </row>
    <row r="34" spans="1:19" ht="20.100000000000001" customHeight="1" x14ac:dyDescent="0.25">
      <c r="A34" s="5" t="str">
        <f>HYPERLINK("#'5.5.1.1-2 Leaching and runoff'!A1", "5.5.1.1-2 Leaching &amp; runoff")</f>
        <v>5.5.1.1-2 Leaching &amp; runoff</v>
      </c>
    </row>
    <row r="35" spans="1:19" ht="20.100000000000001" customHeight="1" x14ac:dyDescent="0.25">
      <c r="A35" s="5" t="str">
        <f>HYPERLINK("#'6.2.1.1-2 Pasture residue N2O'!A1", "6.2.1.1-2 Pasture residue N2O")</f>
        <v>6.2.1.1-2 Pasture residue N2O</v>
      </c>
      <c r="D35" s="132" t="s">
        <v>1173</v>
      </c>
      <c r="E35" s="120" cm="1">
        <f t="array" ref="E35">Fertiliser_Equations_AtmosphericDeposition.VEERG_5_4_1_3__2_MassOfNitrogenVolatilisedFromOrganicFertiliser(I32,I33)</f>
        <v>210</v>
      </c>
      <c r="F35" s="127" t="str">
        <f>E30</f>
        <v>kg N</v>
      </c>
      <c r="N35" s="132" t="s">
        <v>1173</v>
      </c>
      <c r="O35" s="120" cm="1">
        <f t="array" ref="O35">Fertiliser_Equations_AtmosphericDeposition.VEERG_5_4_1_3__2_MassOfNitrogenVolatilisedFromOrganicFertiliser(S32,I33)</f>
        <v>420</v>
      </c>
      <c r="P35" s="127" t="str">
        <f>O30</f>
        <v>kg N</v>
      </c>
    </row>
    <row r="36" spans="1:19" ht="20.100000000000001" customHeight="1" x14ac:dyDescent="0.25">
      <c r="A36" s="5" t="str">
        <f>HYPERLINK("#'6.3.1.1-2 Leach runoff pasture'!A1", "6.3.1.1-2 Leach &amp; runoff (pasture)")</f>
        <v>6.3.1.1-2 Leach &amp; runoff (pasture)</v>
      </c>
    </row>
    <row r="37" spans="1:19" ht="20.100000000000001" customHeight="1" x14ac:dyDescent="0.25">
      <c r="A37" s="5" t="str">
        <f>HYPERLINK("#'8.1.1.1-2 Transport fuel'!A1", "8.1.1.1-2 Transport fuel")</f>
        <v>8.1.1.1-2 Transport fuel</v>
      </c>
    </row>
    <row r="38" spans="1:19" ht="20.100000000000001" customHeight="1" x14ac:dyDescent="0.25">
      <c r="A38" s="5" t="str">
        <f>HYPERLINK("#'8.2.1.1-2 Stationary fuel'!A1", "8.2.1.1-2 Stationary fuel")</f>
        <v>8.2.1.1-2 Stationary fuel</v>
      </c>
    </row>
    <row r="39" spans="1:19" ht="20.100000000000001" customHeight="1" x14ac:dyDescent="0.25">
      <c r="A39" s="5" t="str">
        <f>HYPERLINK("#'14.1.1-2 Purchased electricity'!A1", "14.1.1-2 Purchased electricity")</f>
        <v>14.1.1-2 Purchased electricity</v>
      </c>
    </row>
    <row r="40" spans="1:19" ht="20.100000000000001" customHeight="1" x14ac:dyDescent="0.25">
      <c r="A40" s="5" t="str">
        <f>HYPERLINK("#'15 Scope 3'!A1", "15 Scope 3")</f>
        <v>15 Scope 3</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08" t="str">
        <f>HYPERLINK("#'Calcs - Manure sent off-site'!A1", "Calcs - Manure sent off-site")</f>
        <v>Calcs - Manure sent off-site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HYPERLINK("#'10.1.1-2 Solid waste treatment'!A1", "10.1.1-2 Solid waste treatment")</f>
        <v>10.1.1-2 Solid waste treatment</v>
      </c>
      <c r="D42" s="107" t="s">
        <v>258</v>
      </c>
      <c r="E42" s="107" t="str" cm="1">
        <f t="array" aca="1" ref="E42" ca="1">Common_InputFunctions.Utility_DisplayFunctionName(E55)</f>
        <v>=Fertiliser_Equations_AtmosphericDeposition.VEERG_5_4_1_3__1_OrganicFertiliserAtmosphericDepositionN2OEmissions</v>
      </c>
      <c r="N42" s="107" t="s">
        <v>258</v>
      </c>
      <c r="O42" s="107"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row>
    <row r="44" spans="1:19" ht="20.100000000000001" customHeight="1" x14ac:dyDescent="0.25">
      <c r="A44"/>
    </row>
    <row r="45" spans="1:19" ht="20.100000000000001" customHeight="1" x14ac:dyDescent="0.25">
      <c r="A45" s="94" t="s">
        <v>1</v>
      </c>
      <c r="D45" s="88" t="s">
        <v>260</v>
      </c>
      <c r="E45" s="1" t="str" cm="1">
        <f t="array" ref="E45">Fertiliser_Equations_AtmosphericDeposition.VEERG_5_4_1_3__1_OrganicFertiliserAtmosphericDepositionN2OEmissions_Variable()</f>
        <v>E_adorganic</v>
      </c>
      <c r="N45" s="88" t="s">
        <v>260</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Pasture Beef'!A1", "Constants - Pasture Beef")</f>
        <v>Constants - Pasture Beef</v>
      </c>
      <c r="D46" s="88" t="s">
        <v>132</v>
      </c>
      <c r="E46" s="15" t="str" cm="1">
        <f t="array" ref="E46">Fertiliser_Equations_AtmosphericDeposition.VEERG_5_4_1_3__1_OrganicFertiliserAtmosphericDepositionN2OEmissions_Unit()</f>
        <v>t N2O</v>
      </c>
      <c r="N46" s="88" t="s">
        <v>132</v>
      </c>
      <c r="O46" s="15" t="str" cm="1">
        <f t="array" ref="O46">Fertiliser_Equations_AtmosphericDeposition.VEERG_5_4_1_3__1_OrganicFertiliserAtmosphericDepositionN2OEmissions_Unit()</f>
        <v>t N2O</v>
      </c>
    </row>
    <row r="47" spans="1:19" ht="20.100000000000001" customHeight="1" x14ac:dyDescent="0.25">
      <c r="A47" s="5" t="str">
        <f>HYPERLINK("#'Constants - Ag Residue'!A1", "Constants - Ag residue")</f>
        <v>Constants - Ag residue</v>
      </c>
    </row>
    <row r="48" spans="1:19" ht="20.100000000000001" customHeight="1" x14ac:dyDescent="0.25">
      <c r="A48" s="5" t="str">
        <f>HYPERLINK("#'Constants - Common Livestock'!A1", "Constants - Common Livestock")</f>
        <v>Constants - Common Livestock</v>
      </c>
      <c r="D48" s="109" t="str" cm="1">
        <f t="array" ref="D48:E53">_xlfn.CHOOSECOLS(Fertiliser_Equations_AtmosphericDeposition.VEERG_5_4_1_3__1_OrganicFertiliserAtmosphericDepositionN2OEmissions_Arguments(), 1, 2)</f>
        <v>M_volorganicjf</v>
      </c>
      <c r="E48" s="110" t="str">
        <v>mass of nitrogen volatilised from organic fertiliser applied to production system</v>
      </c>
      <c r="F48" s="112"/>
      <c r="G48" s="109" t="str" cm="1">
        <f t="array" ref="G48:H53">_xlfn.CHOOSECOLS(Fertiliser_Equations_AtmosphericDeposition.VEERG_5_4_1_3__1_OrganicFertiliserAtmosphericDepositionN2OEmissions_Arguments(), 3,4)</f>
        <v>kg N</v>
      </c>
      <c r="H48" s="114" t="str">
        <v>Calculated from 5.4.1.3 (2)</v>
      </c>
      <c r="I48" s="109">
        <f>E35</f>
        <v>210</v>
      </c>
      <c r="N48" s="109" t="str" cm="1">
        <f t="array" ref="N48:O53">_xlfn.CHOOSECOLS(Fertiliser_Equations_AtmosphericDeposition.VEERG_5_4_1_3__1_OrganicFertiliserAtmosphericDepositionN2OEmissions_Arguments(), 1, 2)</f>
        <v>M_volorganicjf</v>
      </c>
      <c r="O48" s="110" t="str">
        <v>mass of nitrogen volatilised from organic fertiliser applied to production system</v>
      </c>
      <c r="P48" s="112"/>
      <c r="Q48" s="109" t="str" cm="1">
        <f t="array" ref="Q48:R53">_xlfn.CHOOSECOLS(Fertiliser_Equations_AtmosphericDeposition.VEERG_5_4_1_3__1_OrganicFertiliserAtmosphericDepositionN2OEmissions_Arguments(), 3,4)</f>
        <v>kg N</v>
      </c>
      <c r="R48" s="114" t="str">
        <v>Calculated from 5.4.1.3 (2)</v>
      </c>
      <c r="S48" s="109">
        <f>O35</f>
        <v>420</v>
      </c>
    </row>
    <row r="49" spans="1:19" ht="20.100000000000001" customHeight="1" x14ac:dyDescent="0.25">
      <c r="A49" s="5" t="str">
        <f>HYPERLINK("#'Constants - Electricity'!A1", "Constants - Electricity")</f>
        <v>Constants - Electricity</v>
      </c>
      <c r="D49" s="109" t="str">
        <v>EF_N2Oj</v>
      </c>
      <c r="E49" s="110" t="str">
        <v>emission factor for atmospheric deposition in production system j</v>
      </c>
      <c r="F49" s="112"/>
      <c r="G49" s="109" t="str">
        <v>kg N2O-N/kg N</v>
      </c>
      <c r="H49" s="114" t="str">
        <v>Constant</v>
      </c>
      <c r="I49" s="109">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9" t="str">
        <v>EF_N2Oj</v>
      </c>
      <c r="O49" s="110" t="str">
        <v>emission factor for atmospheric deposition in production system j</v>
      </c>
      <c r="P49" s="112"/>
      <c r="Q49" s="109" t="str">
        <v>kg N2O-N/kg N</v>
      </c>
      <c r="R49" s="114" t="str">
        <v>Constant</v>
      </c>
      <c r="S49" s="109"/>
    </row>
    <row r="50" spans="1:19" ht="20.100000000000001" customHeight="1" x14ac:dyDescent="0.25">
      <c r="A50" s="5" t="str">
        <f>HYPERLINK("#'Constants - Fertiliser'!A1", "Constants - Fertiliser")</f>
        <v>Constants - Fertiliser</v>
      </c>
      <c r="D50" s="109" t="str">
        <v>C_N2O</v>
      </c>
      <c r="E50" s="110" t="str">
        <v>factor to convert elemental mass of nitrous oxide to molecular mass</v>
      </c>
      <c r="F50" s="112"/>
      <c r="G50" s="109" t="str">
        <v/>
      </c>
      <c r="H50" s="114" t="str">
        <v>Constant</v>
      </c>
      <c r="I50" s="124">
        <f>Common_InputFunctions.Utility_LookupValueInTableNumber("N2O",Table_GasToMolecularConversionFactor[Gas],Table_GasToMolecularConversionFactor[Conversion factor combined])</f>
        <v>1.5714285714285714</v>
      </c>
      <c r="N50" s="109" t="str">
        <v>C_N2O</v>
      </c>
      <c r="O50" s="110" t="str">
        <v>factor to convert elemental mass of nitrous oxide to molecular mass</v>
      </c>
      <c r="P50" s="112"/>
      <c r="Q50" s="109" t="str">
        <v/>
      </c>
      <c r="R50" s="114" t="str">
        <v>Constant</v>
      </c>
      <c r="S50" s="124"/>
    </row>
    <row r="51" spans="1:19" ht="20.100000000000001" customHeight="1" x14ac:dyDescent="0.25">
      <c r="A51" s="5" t="str">
        <f>HYPERLINK("#'Constants - Fuel'!A1", "Constants - Fuel")</f>
        <v>Constants - Fuel</v>
      </c>
      <c r="D51" s="109" t="str">
        <v>j</v>
      </c>
      <c r="E51" s="110" t="str">
        <v>Production system</v>
      </c>
      <c r="F51" s="112"/>
      <c r="G51" s="109" t="str">
        <v/>
      </c>
      <c r="H51" s="261" t="str">
        <v>Input</v>
      </c>
      <c r="I51" s="109" t="str">
        <f>X_Cell_ManureSentOffsite_ManureProductionSystem</f>
        <v>Crop</v>
      </c>
      <c r="N51" s="109" t="str">
        <v>j</v>
      </c>
      <c r="O51" s="110" t="str">
        <v>Production system</v>
      </c>
      <c r="P51" s="112"/>
      <c r="Q51" s="109" t="str">
        <v/>
      </c>
      <c r="R51" s="261" t="str">
        <v>Input</v>
      </c>
      <c r="S51" s="109"/>
    </row>
    <row r="52" spans="1:19" ht="20.100000000000001" customHeight="1" x14ac:dyDescent="0.25">
      <c r="A52" s="5" t="str">
        <f>HYPERLINK("#'Constants - Scope 3'!A1", "Constants - Scope 3")</f>
        <v>Constants - Scope 3</v>
      </c>
      <c r="D52" s="109" t="str">
        <v>ir</v>
      </c>
      <c r="E52" s="110" t="str">
        <v>irrigation method</v>
      </c>
      <c r="F52" s="112"/>
      <c r="G52" s="109" t="str">
        <v/>
      </c>
      <c r="H52" s="261" t="str">
        <v>Input</v>
      </c>
      <c r="I52" s="109" t="str">
        <f>X_Cell_ManureSentOffsite_ManureIrrigationMethod</f>
        <v>Sprinkler irrigation</v>
      </c>
      <c r="N52" s="109" t="str">
        <v>ir</v>
      </c>
      <c r="O52" s="110" t="str">
        <v>irrigation method</v>
      </c>
      <c r="P52" s="112"/>
      <c r="Q52" s="109" t="str">
        <v/>
      </c>
      <c r="R52" s="261" t="str">
        <v>Input</v>
      </c>
      <c r="S52" s="109"/>
    </row>
    <row r="53" spans="1:19" ht="20.100000000000001" customHeight="1" x14ac:dyDescent="0.25">
      <c r="A53" s="5" t="str">
        <f>HYPERLINK("#'Constants - Common'!A1", "Constants - Common")</f>
        <v>Constants - Common</v>
      </c>
      <c r="D53" s="109" t="str">
        <v>r</v>
      </c>
      <c r="E53" s="110" t="str">
        <v>rainfall region</v>
      </c>
      <c r="F53" s="112"/>
      <c r="G53" s="109" t="str">
        <v/>
      </c>
      <c r="H53" s="261" t="str">
        <v>Input</v>
      </c>
      <c r="I53" s="109" t="str">
        <f>X_Cell_Site_RainfallZone</f>
        <v>High rainfall</v>
      </c>
      <c r="N53" s="109" t="str">
        <v>r</v>
      </c>
      <c r="O53" s="110" t="str">
        <v>rainfall region</v>
      </c>
      <c r="P53" s="112"/>
      <c r="Q53" s="109" t="str">
        <v/>
      </c>
      <c r="R53" s="261" t="str">
        <v>Input</v>
      </c>
      <c r="S53" s="109"/>
    </row>
    <row r="54" spans="1:19" ht="20.100000000000001" customHeight="1" x14ac:dyDescent="0.25">
      <c r="A54" s="5" t="str">
        <f>HYPERLINK("#'Acknowledgements'!A1", "Acknowledgements")</f>
        <v>Acknowledgements</v>
      </c>
    </row>
    <row r="55" spans="1:19" ht="20.100000000000001" customHeight="1" x14ac:dyDescent="0.25">
      <c r="A55" s="5" t="str">
        <f>HYPERLINK("#'Constants - Solid Waste'!A1", "Constants - Solid Waste")</f>
        <v>Constants - Solid Waste</v>
      </c>
      <c r="D55" s="121" t="s">
        <v>603</v>
      </c>
      <c r="E55" s="122" cm="1">
        <f t="array" ref="E55">Fertiliser_Equations_AtmosphericDeposition.VEERG_5_4_1_3__1_OrganicFertiliserAtmosphericDepositionN2OEmissions(I48,I49,I50)</f>
        <v>2.31E-3</v>
      </c>
      <c r="F55" s="123" t="str">
        <f>$E$46</f>
        <v>t N2O</v>
      </c>
      <c r="N55" s="121" t="s">
        <v>603</v>
      </c>
      <c r="O55" s="122" cm="1">
        <f t="array" ref="O55">Fertiliser_Equations_AtmosphericDeposition.VEERG_5_4_1_3__1_OrganicFertiliserAtmosphericDepositionN2OEmissions(S48,I49,I50)</f>
        <v>4.62E-3</v>
      </c>
      <c r="P55" s="123"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7" t="s">
        <v>258</v>
      </c>
      <c r="E61" s="107" t="str" cm="1">
        <f t="array" aca="1" ref="E61" ca="1">Common_InputFunctions.Utility_DisplayFunctionName(E74)</f>
        <v>=Fertiliser_Equations_LeachingAndRunoff.VEERG_5_5_1_1__3_MassOfNitrogenLeachedFromOrganicFertiliser</v>
      </c>
      <c r="N61" s="107" t="s">
        <v>258</v>
      </c>
      <c r="O61" s="107"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260</v>
      </c>
      <c r="E64" s="1" t="str" cm="1">
        <f t="array" ref="E64">Fertiliser_Equations_LeachingAndRunoff.VEERG_5_5_1_1__3_MassOfNitrogenLeachedFromOrganicFertiliser_Variable()</f>
        <v>M_leachorganicj</v>
      </c>
      <c r="N64" s="88" t="s">
        <v>260</v>
      </c>
      <c r="O64" s="1" t="str" cm="1">
        <f t="array" ref="O64">Fertiliser_Equations_LeachingAndRunoff.VEERG_5_5_1_1__3_MassOfNitrogenLeachedFromOrganicFertiliser_Variable()</f>
        <v>M_leachorganicj</v>
      </c>
    </row>
    <row r="65" spans="1:19" ht="20.100000000000001" customHeight="1" x14ac:dyDescent="0.25">
      <c r="A65"/>
      <c r="D65" s="88" t="s">
        <v>132</v>
      </c>
      <c r="E65" s="15" t="str" cm="1">
        <f t="array" ref="E65">Fertiliser_Equations_LeachingAndRunoff.VEERG_5_5_1_1__3_MassOfNitrogenLeachedFromOrganicFertiliser_Unit()</f>
        <v>kg N</v>
      </c>
      <c r="N65" s="88" t="s">
        <v>132</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9" t="str" cm="1">
        <f t="array" ref="D67:E72">_xlfn.CHOOSECOLS(Fertiliser_Equations_LeachingAndRunoff.VEERG_5_5_1_1__3_MassOfNitrogenLeachedFromOrganicFertiliser_Arguments(), 1, 2)</f>
        <v>MNSoil_jf</v>
      </c>
      <c r="E67" s="110" t="str">
        <v>mass of nitrogen in organic fertiliser</v>
      </c>
      <c r="F67" s="112"/>
      <c r="G67" s="109" t="str" cm="1">
        <f t="array" ref="G67:H72">_xlfn.CHOOSECOLS(Fertiliser_Equations_LeachingAndRunoff.VEERG_5_5_1_1__3_MassOfNitrogenLeachedFromOrganicFertiliser_Arguments(), 3,4)</f>
        <v>kg N</v>
      </c>
      <c r="H67" s="114" t="str">
        <v>Calculated from 5.2.1.1 (2)</v>
      </c>
      <c r="I67" s="109">
        <f>X_Cell_ManureSentOffsite_MassNitrogenManure_Method1</f>
        <v>1000</v>
      </c>
      <c r="N67" s="109" t="str" cm="1">
        <f t="array" ref="N67:O72">_xlfn.CHOOSECOLS(Fertiliser_Equations_LeachingAndRunoff.VEERG_5_5_1_1__3_MassOfNitrogenLeachedFromOrganicFertiliser_Arguments(), 1, 2)</f>
        <v>MNSoil_jf</v>
      </c>
      <c r="O67" s="110" t="str">
        <v>mass of nitrogen in organic fertiliser</v>
      </c>
      <c r="P67" s="112"/>
      <c r="Q67" s="109" t="str" cm="1">
        <f t="array" ref="Q67:R72">_xlfn.CHOOSECOLS(Fertiliser_Equations_LeachingAndRunoff.VEERG_5_5_1_1__3_MassOfNitrogenLeachedFromOrganicFertiliser_Arguments(), 3,4)</f>
        <v>kg N</v>
      </c>
      <c r="R67" s="114" t="str">
        <v>Calculated from 5.2.1.1 (2)</v>
      </c>
      <c r="S67" s="109">
        <f>X_Cell_ManureSentOffsite_MassNitrogenManure_Method2</f>
        <v>2000</v>
      </c>
    </row>
    <row r="68" spans="1:19" ht="20.100000000000001" customHeight="1" x14ac:dyDescent="0.25">
      <c r="A68"/>
      <c r="D68" s="109" t="str">
        <v>FracWETj</v>
      </c>
      <c r="E68" s="110" t="str">
        <v>fraction of N available for leaching and runoff</v>
      </c>
      <c r="F68" s="112"/>
      <c r="G68" s="109" t="str">
        <v>fraction</v>
      </c>
      <c r="H68" s="114" t="str">
        <v>Constant</v>
      </c>
      <c r="I68" s="109">
        <f>Common_InputFunctions.CommonCropping_GetFracWET(I70,I72,#REF!,#REF!,Table_SourceData_FracWETIrrigation[Irrigation type i],Table_SourceData_FracWETIrrigation[FracWET])</f>
        <v>1</v>
      </c>
      <c r="N68" s="109" t="str">
        <v>FracWETj</v>
      </c>
      <c r="O68" s="110" t="str">
        <v>fraction of N available for leaching and runoff</v>
      </c>
      <c r="P68" s="112"/>
      <c r="Q68" s="109" t="str">
        <v>fraction</v>
      </c>
      <c r="R68" s="114" t="str">
        <v>Constant</v>
      </c>
      <c r="S68" s="109"/>
    </row>
    <row r="69" spans="1:19" ht="20.100000000000001" customHeight="1" x14ac:dyDescent="0.25">
      <c r="A69"/>
      <c r="D69" s="109" t="str">
        <v>FracLEACH</v>
      </c>
      <c r="E69" s="110" t="str">
        <v>fraction of N that is lost through leaching and runoff</v>
      </c>
      <c r="F69" s="112"/>
      <c r="G69" s="109" t="str">
        <v>fraction</v>
      </c>
      <c r="H69" s="114" t="str">
        <v>Constant</v>
      </c>
      <c r="I69" s="109">
        <f>'Constants - Fertiliser'!$E$78</f>
        <v>0.24</v>
      </c>
      <c r="N69" s="109" t="str">
        <v>FracLEACH</v>
      </c>
      <c r="O69" s="110" t="str">
        <v>fraction of N that is lost through leaching and runoff</v>
      </c>
      <c r="P69" s="112"/>
      <c r="Q69" s="109" t="str">
        <v>fraction</v>
      </c>
      <c r="R69" s="114" t="str">
        <v>Constant</v>
      </c>
      <c r="S69" s="109"/>
    </row>
    <row r="70" spans="1:19" ht="20.100000000000001" customHeight="1" x14ac:dyDescent="0.25">
      <c r="A70"/>
      <c r="D70" s="109" t="str">
        <v>z</v>
      </c>
      <c r="E70" s="110" t="str">
        <v>location in leaching zone</v>
      </c>
      <c r="F70" s="112"/>
      <c r="G70" s="109" t="str">
        <v/>
      </c>
      <c r="H70" s="261" t="str">
        <v>Input</v>
      </c>
      <c r="I70" s="109" t="str">
        <f>X_Cell_Site_LeachingZone</f>
        <v>NO - Not in leaching zone</v>
      </c>
      <c r="N70" s="109" t="str">
        <v>z</v>
      </c>
      <c r="O70" s="110" t="str">
        <v>location in leaching zone</v>
      </c>
      <c r="P70" s="112"/>
      <c r="Q70" s="109" t="str">
        <v/>
      </c>
      <c r="R70" s="261" t="str">
        <v>Input</v>
      </c>
      <c r="S70" s="109"/>
    </row>
    <row r="71" spans="1:19" ht="20.100000000000001" customHeight="1" x14ac:dyDescent="0.25">
      <c r="A71"/>
      <c r="D71" s="109" t="str">
        <v>j</v>
      </c>
      <c r="E71" s="110" t="str">
        <v>production system</v>
      </c>
      <c r="F71" s="112"/>
      <c r="G71" s="109" t="str">
        <v/>
      </c>
      <c r="H71" s="261" t="str">
        <v>Input</v>
      </c>
      <c r="I71" s="109" t="str">
        <f>X_Cell_ManureSentOffsite_ManureProductionSystem</f>
        <v>Crop</v>
      </c>
      <c r="N71" s="109" t="str">
        <v>j</v>
      </c>
      <c r="O71" s="110" t="str">
        <v>production system</v>
      </c>
      <c r="P71" s="112"/>
      <c r="Q71" s="109" t="str">
        <v/>
      </c>
      <c r="R71" s="261" t="str">
        <v>Input</v>
      </c>
      <c r="S71" s="109"/>
    </row>
    <row r="72" spans="1:19" ht="20.100000000000001" customHeight="1" x14ac:dyDescent="0.25">
      <c r="A72"/>
      <c r="D72" s="109" t="str">
        <v>ir</v>
      </c>
      <c r="E72" s="110" t="str">
        <v>irrigation method</v>
      </c>
      <c r="F72" s="112"/>
      <c r="G72" s="109" t="str">
        <v/>
      </c>
      <c r="H72" s="261" t="str">
        <v>Input</v>
      </c>
      <c r="I72" s="109" t="str">
        <f>X_Cell_ManureSentOffsite_ManureIrrigationMethod</f>
        <v>Sprinkler irrigation</v>
      </c>
      <c r="N72" s="109" t="str">
        <v>ir</v>
      </c>
      <c r="O72" s="110" t="str">
        <v>irrigation method</v>
      </c>
      <c r="P72" s="112"/>
      <c r="Q72" s="109" t="str">
        <v/>
      </c>
      <c r="R72" s="261" t="str">
        <v>Input</v>
      </c>
      <c r="S72" s="109"/>
    </row>
    <row r="73" spans="1:19" ht="20.100000000000001" customHeight="1" x14ac:dyDescent="0.25">
      <c r="A73"/>
    </row>
    <row r="74" spans="1:19" ht="20.100000000000001" customHeight="1" x14ac:dyDescent="0.25">
      <c r="A74"/>
      <c r="D74" s="132" t="s">
        <v>1174</v>
      </c>
      <c r="E74" s="120" cm="1">
        <f t="array" ref="E74">Fertiliser_Equations_LeachingAndRunoff.VEERG_5_5_1_1__3_MassOfNitrogenLeachedFromOrganicFertiliser(I67,I68,I69)</f>
        <v>240</v>
      </c>
      <c r="F74" s="127" t="str">
        <f>$E$65</f>
        <v>kg N</v>
      </c>
      <c r="N74" s="132" t="s">
        <v>1174</v>
      </c>
      <c r="O74" s="120" cm="1">
        <f t="array" ref="O74">Fertiliser_Equations_LeachingAndRunoff.VEERG_5_5_1_1__3_MassOfNitrogenLeachedFromOrganicFertiliser(S67,I68,I69)</f>
        <v>480</v>
      </c>
      <c r="P74" s="127"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7" t="s">
        <v>258</v>
      </c>
      <c r="E79" s="107" t="str" cm="1">
        <f t="array" aca="1" ref="E79" ca="1">Common_InputFunctions.Utility_DisplayFunctionName(E90)</f>
        <v>=Fertiliser_Equations_LeachingAndRunoff.VEERG_5_5_1_1__1_FertiliserLeachingAndRunoffN2OEmissions</v>
      </c>
      <c r="N79" s="107" t="s">
        <v>258</v>
      </c>
      <c r="O79" s="107"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260</v>
      </c>
      <c r="E82" s="1" t="str" cm="1">
        <f t="array" ref="E82">Fertiliser_Equations_LeachingAndRunoff.VEERG_5_5_1_1__1_FertiliserLeachingAndRunoffN2OEmissions_Variable()</f>
        <v>E_fertleach</v>
      </c>
      <c r="N82" s="88" t="s">
        <v>260</v>
      </c>
      <c r="O82" s="1" t="str" cm="1">
        <f t="array" ref="O82">Fertiliser_Equations_LeachingAndRunoff.VEERG_5_5_1_1__1_FertiliserLeachingAndRunoffN2OEmissions_Variable()</f>
        <v>E_fertleach</v>
      </c>
    </row>
    <row r="83" spans="1:20" x14ac:dyDescent="0.25">
      <c r="A83"/>
      <c r="D83" s="88" t="s">
        <v>132</v>
      </c>
      <c r="E83" s="15" t="str" cm="1">
        <f t="array" ref="E83">Fertiliser_Equations_LeachingAndRunoff.VEERG_5_5_1_1__1_FertiliserLeachingAndRunoffN2OEmissions_Unit()</f>
        <v>t N2O</v>
      </c>
      <c r="N83" s="88" t="s">
        <v>132</v>
      </c>
      <c r="O83" s="15" t="str" cm="1">
        <f t="array" ref="O83">Fertiliser_Equations_LeachingAndRunoff.VEERG_5_5_1_1__1_FertiliserLeachingAndRunoffN2OEmissions_Unit()</f>
        <v>t N2O</v>
      </c>
    </row>
    <row r="84" spans="1:20" x14ac:dyDescent="0.25">
      <c r="A84"/>
    </row>
    <row r="85" spans="1:20" x14ac:dyDescent="0.25">
      <c r="A85"/>
      <c r="D85" s="109" t="str" cm="1">
        <f t="array" ref="D85:E88">_xlfn.CHOOSECOLS(Fertiliser_Equations_LeachingAndRunoff.VEERG_5_5_1_1__1_FertiliserLeachingAndRunoffN2OEmissions_Arguments(), 1, 2)</f>
        <v>M_leachinorganicj</v>
      </c>
      <c r="E85" s="110" t="str">
        <v>mass of nitrogen lost through leaching and runoff from inorganic fertiliser application in production system j</v>
      </c>
      <c r="F85" s="111"/>
      <c r="G85" s="112"/>
      <c r="H85" s="109" t="str" cm="1">
        <f t="array" ref="H85:I88">_xlfn.CHOOSECOLS(Fertiliser_Equations_LeachingAndRunoff.VEERG_5_5_1_1__1_FertiliserLeachingAndRunoffN2OEmissions_Arguments(), 3,4)</f>
        <v>kg N</v>
      </c>
      <c r="I85" s="114" t="str">
        <v>Calculated from 5.5.1.1 (2)</v>
      </c>
      <c r="J85" s="109">
        <v>0</v>
      </c>
      <c r="N85" s="109" t="str" cm="1">
        <f t="array" ref="N85:O88">_xlfn.CHOOSECOLS(Fertiliser_Equations_LeachingAndRunoff.VEERG_5_5_1_1__1_FertiliserLeachingAndRunoffN2OEmissions_Arguments(), 1, 2)</f>
        <v>M_leachinorganicj</v>
      </c>
      <c r="O85" s="110" t="str">
        <v>mass of nitrogen lost through leaching and runoff from inorganic fertiliser application in production system j</v>
      </c>
      <c r="P85" s="111"/>
      <c r="Q85" s="112"/>
      <c r="R85" s="109" t="str" cm="1">
        <f t="array" ref="R85:S88">_xlfn.CHOOSECOLS(Fertiliser_Equations_LeachingAndRunoff.VEERG_5_5_1_1__1_FertiliserLeachingAndRunoffN2OEmissions_Arguments(), 3,4)</f>
        <v>kg N</v>
      </c>
      <c r="S85" s="114" t="str">
        <v>Calculated from 5.5.1.1 (2)</v>
      </c>
      <c r="T85" s="109"/>
    </row>
    <row r="86" spans="1:20" x14ac:dyDescent="0.25">
      <c r="A86"/>
      <c r="D86" s="109" t="str">
        <v>M_leachorganicj</v>
      </c>
      <c r="E86" s="110" t="str">
        <v>mass of nitrogen lost through leaching and runoff from organic fertiliser application</v>
      </c>
      <c r="F86" s="111"/>
      <c r="G86" s="112"/>
      <c r="H86" s="109" t="str">
        <v>kg N</v>
      </c>
      <c r="I86" s="114" t="str">
        <v>Calculated from 5.5.1.1 (3)</v>
      </c>
      <c r="J86" s="109">
        <f>E74</f>
        <v>240</v>
      </c>
      <c r="N86" s="109" t="str">
        <v>M_leachorganicj</v>
      </c>
      <c r="O86" s="110" t="str">
        <v>mass of nitrogen lost through leaching and runoff from organic fertiliser application</v>
      </c>
      <c r="P86" s="111"/>
      <c r="Q86" s="112"/>
      <c r="R86" s="109" t="str">
        <v>kg N</v>
      </c>
      <c r="S86" s="114" t="str">
        <v>Calculated from 5.5.1.1 (3)</v>
      </c>
      <c r="T86" s="109">
        <f>O74</f>
        <v>480</v>
      </c>
    </row>
    <row r="87" spans="1:20" x14ac:dyDescent="0.25">
      <c r="A87"/>
      <c r="D87" s="109" t="str">
        <v>EF_leach</v>
      </c>
      <c r="E87" s="110" t="str">
        <v>emission factor for nitrogen leaching and runoff</v>
      </c>
      <c r="F87" s="111"/>
      <c r="G87" s="112"/>
      <c r="H87" s="109" t="str">
        <v>kg N2O-N/kg N</v>
      </c>
      <c r="I87" s="114" t="str">
        <v>Constant</v>
      </c>
      <c r="J87" s="109">
        <f>'Constants - Fertiliser'!$E$83</f>
        <v>1.0999999999999999E-2</v>
      </c>
      <c r="N87" s="109" t="str">
        <v>EF_leach</v>
      </c>
      <c r="O87" s="110" t="str">
        <v>emission factor for nitrogen leaching and runoff</v>
      </c>
      <c r="P87" s="111"/>
      <c r="Q87" s="112"/>
      <c r="R87" s="109" t="str">
        <v>kg N2O-N/kg N</v>
      </c>
      <c r="S87" s="114" t="str">
        <v>Constant</v>
      </c>
      <c r="T87" s="109"/>
    </row>
    <row r="88" spans="1:20" x14ac:dyDescent="0.25">
      <c r="A88"/>
      <c r="D88" s="109" t="str">
        <v>C_N2O</v>
      </c>
      <c r="E88" s="110" t="str">
        <v>factor to convert elemental mass of nitrous oxide to molecular mass</v>
      </c>
      <c r="F88" s="111"/>
      <c r="G88" s="112"/>
      <c r="H88" s="109" t="str">
        <v/>
      </c>
      <c r="I88" s="114" t="str">
        <v>Constant</v>
      </c>
      <c r="J88" s="124">
        <f>Common_InputFunctions.Utility_LookupValueInTableNumber("N2O",Table_GasToMolecularConversionFactor[Gas],Table_GasToMolecularConversionFactor[Conversion factor combined])</f>
        <v>1.5714285714285714</v>
      </c>
      <c r="N88" s="109" t="str">
        <v>C_N2O</v>
      </c>
      <c r="O88" s="110" t="str">
        <v>factor to convert elemental mass of nitrous oxide to molecular mass</v>
      </c>
      <c r="P88" s="111"/>
      <c r="Q88" s="112"/>
      <c r="R88" s="109" t="str">
        <v/>
      </c>
      <c r="S88" s="114" t="str">
        <v>Constant</v>
      </c>
      <c r="T88" s="124"/>
    </row>
    <row r="89" spans="1:20" x14ac:dyDescent="0.25">
      <c r="A89"/>
    </row>
    <row r="90" spans="1:20" ht="23.25" x14ac:dyDescent="0.25">
      <c r="A90"/>
      <c r="D90" s="121" t="s">
        <v>620</v>
      </c>
      <c r="E90" s="122" cm="1">
        <f t="array" ref="E90">Fertiliser_Equations_LeachingAndRunoff.VEERG_5_5_1_1__1_FertiliserLeachingAndRunoffN2OEmissions(J85,J86,J87,J88)</f>
        <v>4.1485714285714277E-3</v>
      </c>
      <c r="F90" s="123" t="str">
        <f>$E$83</f>
        <v>t N2O</v>
      </c>
      <c r="N90" s="121" t="s">
        <v>620</v>
      </c>
      <c r="O90" s="122" cm="1">
        <f t="array" ref="O90">Fertiliser_Equations_LeachingAndRunoff.VEERG_5_5_1_1__1_FertiliserLeachingAndRunoffN2OEmissions(J85,T86,J87,J88)</f>
        <v>8.2971428571428554E-3</v>
      </c>
      <c r="P90" s="123"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02E68-8D0E-4DF2-8E46-416B30521F30}">
  <dimension ref="A1:V483"/>
  <sheetViews>
    <sheetView showGridLines="0" topLeftCell="J2"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302</v>
      </c>
      <c r="G5" s="2" t="s">
        <v>303</v>
      </c>
      <c r="M5" s="1" t="s">
        <v>304</v>
      </c>
      <c r="O5" s="1" t="s">
        <v>305</v>
      </c>
      <c r="Q5" s="1" t="s">
        <v>306</v>
      </c>
      <c r="S5" s="1" t="s">
        <v>307</v>
      </c>
    </row>
    <row r="6" spans="1:21" ht="20.100000000000001" customHeight="1" x14ac:dyDescent="0.25">
      <c r="M6" s="1"/>
    </row>
    <row r="7" spans="1:21" ht="20.100000000000001" customHeight="1" x14ac:dyDescent="0.25">
      <c r="D7" s="30" t="s">
        <v>308</v>
      </c>
      <c r="G7" s="30" t="s">
        <v>74</v>
      </c>
      <c r="M7" t="s">
        <v>309</v>
      </c>
      <c r="O7" s="30" t="s">
        <v>309</v>
      </c>
      <c r="Q7" s="30" t="s">
        <v>309</v>
      </c>
      <c r="S7" s="30" t="s">
        <v>309</v>
      </c>
    </row>
    <row r="8" spans="1:21" ht="20.100000000000001" customHeight="1" x14ac:dyDescent="0.25">
      <c r="A8" s="7" t="s">
        <v>0</v>
      </c>
      <c r="D8" s="30" t="str">
        <f>'Constants - Common'!$F$187</f>
        <v>Pasture</v>
      </c>
      <c r="G8" s="30" t="s">
        <v>310</v>
      </c>
      <c r="M8" s="30" t="s">
        <v>184</v>
      </c>
      <c r="O8" s="30" t="s">
        <v>311</v>
      </c>
      <c r="Q8" s="30" t="s">
        <v>312</v>
      </c>
      <c r="S8" s="30" t="s">
        <v>313</v>
      </c>
    </row>
    <row r="9" spans="1:21" ht="20.100000000000001" customHeight="1" x14ac:dyDescent="0.25">
      <c r="A9" s="5" t="str">
        <f>HYPERLINK("#'Input - Enterprise'!A1", "Enterprise")</f>
        <v>Enterprise</v>
      </c>
      <c r="D9" s="1" t="str">
        <f>'Constants - Common'!$F$188</f>
        <v>Crop</v>
      </c>
      <c r="G9" s="30" t="s">
        <v>314</v>
      </c>
      <c r="M9" s="30" t="s">
        <v>315</v>
      </c>
      <c r="O9" s="30" t="s">
        <v>316</v>
      </c>
      <c r="Q9" s="30" t="s">
        <v>317</v>
      </c>
    </row>
    <row r="10" spans="1:21" ht="20.100000000000001" customHeight="1" x14ac:dyDescent="0.25">
      <c r="A10" s="5" t="str">
        <f>HYPERLINK("#'Input - Site'!A1", "Site")</f>
        <v>Site</v>
      </c>
      <c r="G10" s="1" t="s">
        <v>238</v>
      </c>
      <c r="M10" s="30" t="s">
        <v>318</v>
      </c>
      <c r="O10" s="30" t="s">
        <v>319</v>
      </c>
      <c r="Q10" s="30" t="s">
        <v>320</v>
      </c>
      <c r="S10" s="1" t="s">
        <v>321</v>
      </c>
    </row>
    <row r="11" spans="1:21" ht="20.100000000000001" customHeight="1" x14ac:dyDescent="0.25">
      <c r="A11" s="5" t="str">
        <f>HYPERLINK("#'Input - Pasture Beef'!A1", "Pasture Beef")</f>
        <v>Pasture Beef</v>
      </c>
      <c r="G11" s="1" t="s">
        <v>322</v>
      </c>
      <c r="M11" s="1"/>
      <c r="Q11" s="30" t="s">
        <v>323</v>
      </c>
    </row>
    <row r="12" spans="1:21" ht="20.100000000000001" customHeight="1" x14ac:dyDescent="0.25">
      <c r="A12" s="5" t="str">
        <f>HYPERLINK("#'Input - Pasture Beef (Enteric)'!A1", "Pasture Beef (Enteric)")</f>
        <v>Pasture Beef (Enteric)</v>
      </c>
      <c r="G12" s="1" t="s">
        <v>324</v>
      </c>
      <c r="M12" s="1"/>
      <c r="S12" s="30" t="s">
        <v>309</v>
      </c>
    </row>
    <row r="13" spans="1:21" ht="20.100000000000001" customHeight="1" x14ac:dyDescent="0.25">
      <c r="A13" s="5" t="str">
        <f>HYPERLINK("#'Input - Pasture'!A1", "Pasture")</f>
        <v>Pasture</v>
      </c>
      <c r="M13" s="1"/>
      <c r="S13" s="30" t="s">
        <v>313</v>
      </c>
    </row>
    <row r="14" spans="1:21" ht="20.100000000000001" customHeight="1" x14ac:dyDescent="0.25">
      <c r="A14" s="5" t="str">
        <f>HYPERLINK("#'Input - Fertiliser'!A1", "Fertiliser")</f>
        <v>Fertiliser</v>
      </c>
      <c r="D14" s="2" t="str" cm="1">
        <f t="array" ref="D14">SourceData_PastureBeef.SourceData_PastureBeef_Liveweight_Title()</f>
        <v>Beef pasture cattle - Liveweight (kg) (Wjkl)</v>
      </c>
      <c r="M14" s="1"/>
    </row>
    <row r="15" spans="1:21" ht="20.100000000000001" customHeight="1" x14ac:dyDescent="0.25">
      <c r="A15" s="5" t="str">
        <f>HYPERLINK("#'Input - Fuel'!A1", "Fuel")</f>
        <v>Fuel</v>
      </c>
      <c r="D15" s="27" t="str" cm="1">
        <f t="array" ref="D15">SourceData_PastureBeef.SourceData_PastureBeef_Liveweight_Source()</f>
        <v>VEERG 2026: Table A.1.2.1</v>
      </c>
      <c r="M15" s="1"/>
      <c r="S15" s="1" t="s">
        <v>325</v>
      </c>
    </row>
    <row r="16" spans="1:21" ht="20.100000000000001" customHeight="1" x14ac:dyDescent="0.25">
      <c r="A16" s="5" t="str">
        <f>HYPERLINK("#'Input - Electricity'!A1", "Electricity")</f>
        <v>Electricity</v>
      </c>
      <c r="D16" s="1" t="str" cm="1">
        <f t="array" ref="D16">SourceData_PastureBeef.SourceData_PastureBeef_Liveweight_Variable()</f>
        <v>Wjkl</v>
      </c>
      <c r="M16" s="1"/>
    </row>
    <row r="17" spans="1:19" ht="20.100000000000001" customHeight="1" x14ac:dyDescent="0.25">
      <c r="A17" s="5" t="str">
        <f>HYPERLINK("#'Input - Farm Inputs'!A1", "Farm Inputs")</f>
        <v>Farm Inputs</v>
      </c>
      <c r="D17" s="15" t="str" cm="1">
        <f t="array" ref="D17">SourceData_PastureBeef.SourceData_PastureBeef_Liveweight_Unit()</f>
        <v>kg</v>
      </c>
      <c r="M17" s="1"/>
      <c r="O17" s="1" t="s">
        <v>326</v>
      </c>
      <c r="S17" s="30" t="s">
        <v>309</v>
      </c>
    </row>
    <row r="18" spans="1:19" ht="20.100000000000001" customHeight="1" x14ac:dyDescent="0.25">
      <c r="A18" s="5" t="str">
        <f>HYPERLINK("#'Input - Freight'!A1", "Freight")</f>
        <v>Freight</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HYPERLINK("#'Input - Manure sent off-site'!A1", "Manure sent off-site")</f>
        <v>Manure sent off-site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HYPERLINK("#'Input - Solid waste'!A1", "Solid waste")</f>
        <v>Solid waste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6" t="s">
        <v>2</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HYPERLINK("#'3.2.1.1-2 Enteric Methane'!A1", "3.2.1.1-2 Enteric methane")</f>
        <v>3.2.1.1-2 Enteric methane</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HYPERLINK("#'4.2.1.1-2 Methane'!A1", "4.2.1.1-2 Manure methane")</f>
        <v>4.2.1.1-2 Manure methane</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HYPERLINK("#'4.2.1.3-4 Soil direct N20'!A1", "4.2.1.3-4 Soil direct N2O")</f>
        <v>4.2.1.3-4 Soil direct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HYPERLINK("#'4.2.1.5-6 Soil Atmos Dep'!A1", "4.2.1.5-6 Soil atm. deposition")</f>
        <v>4.2.1.5-6 Soil atm. deposition</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HYPERLINK("#'4.2.1.7-8 Soil leach runoff'!A1", "4.2.1.7-8 Soil leach &amp; runoff")</f>
        <v>4.2.1.7-8 Soil leach &amp; runoff</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HYPERLINK("#'5.1.1.1-2 Inorganic fert N2O'!A1", "5.1.1.1-2 Inorganic fert N2O")</f>
        <v>5.1.1.1-2 Inorganic fert N2O</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HYPERLINK("#'5.1.1.3-4 Inorganic fert CO2'!A1", "5.1.1.3-4 Inorganic fert CO2")</f>
        <v>5.1.1.3-4 Inorganic fert CO2</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HYPERLINK("#'5.2.1.1-2 Organic Fert N2O'!A1", "5.2.1.1-2 Organic fert N2O")</f>
        <v>5.2.1.1-2 Organic fert N2O</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HYPERLINK("#'5.3.1.1-2 Lime CO2'!A1", "5.3.1.1-2 Lime CO2")</f>
        <v>5.3.1.1-2 Lime CO2</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HYPERLINK("#'5.4.1.1-4 Atmos deposition'!A1", "5.4.1.1-4 Atmos. deposition")</f>
        <v>5.4.1.1-4 Atmos. deposition</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HYPERLINK("#'5.5.1.1-2 Leaching and runoff'!A1", "5.5.1.1-2 Leaching &amp; runoff")</f>
        <v>5.5.1.1-2 Leaching &amp; runoff</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A35" s="5" t="str">
        <f>HYPERLINK("#'6.2.1.1-2 Pasture residue N2O'!A1", "6.2.1.1-2 Pasture residue N2O")</f>
        <v>6.2.1.1-2 Pasture residue N2O</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A36" s="5" t="str">
        <f>HYPERLINK("#'6.3.1.1-2 Leach runoff pasture'!A1", "6.3.1.1-2 Leach &amp; runoff (pasture)")</f>
        <v>6.3.1.1-2 Leach &amp; runoff (pasture)</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5" t="str">
        <f>HYPERLINK("#'8.1.1.1-2 Transport fuel'!A1", "8.1.1.1-2 Transport fuel")</f>
        <v>8.1.1.1-2 Transport fuel</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5" t="str">
        <f>HYPERLINK("#'8.2.1.1-2 Stationary fuel'!A1", "8.2.1.1-2 Stationary fuel")</f>
        <v>8.2.1.1-2 Stationary fuel</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HYPERLINK("#'14.1.1-2 Purchased electricity'!A1", "14.1.1-2 Purchased electricity")</f>
        <v>14.1.1-2 Purchased electricity</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HYPERLINK("#'15 Scope 3'!A1", "15 Scope 3")</f>
        <v>15 Scope 3</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HYPERLINK("#'Calcs - Manure sent off-site'!A1", "Calcs - Manure sent off-site")</f>
        <v>Calcs - Manure sent off-site</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HYPERLINK("#'10.1.1-2 Solid waste treatment'!A1", "10.1.1-2 Solid waste treatment")</f>
        <v>10.1.1-2 Solid waste treatment</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94" t="s">
        <v>1</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128" t="str">
        <f>HYPERLINK("#'Constants - Pasture Beef'!A1", "Constants - Pasture Beef")</f>
        <v>Constants - Pasture Beef</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A47" s="5" t="str">
        <f>HYPERLINK("#'Constants - Ag Residue'!A1", "Constants - Ag residue")</f>
        <v>Constants - Ag residue</v>
      </c>
      <c r="M47" s="1"/>
      <c r="O47" s="30" t="s">
        <v>355</v>
      </c>
      <c r="P47" s="30" t="s">
        <v>352</v>
      </c>
    </row>
    <row r="48" spans="1:16" ht="20.100000000000001" customHeight="1" x14ac:dyDescent="0.25">
      <c r="A48" s="5" t="str">
        <f>HYPERLINK("#'Constants - Common Livestock'!A1", "Constants - Common Livestock")</f>
        <v>Constants - Common Livestock</v>
      </c>
      <c r="M48" s="1"/>
      <c r="O48" s="1" t="s">
        <v>356</v>
      </c>
      <c r="P48" s="1" t="s">
        <v>356</v>
      </c>
    </row>
    <row r="49" spans="1:16" ht="20.100000000000001" customHeight="1" x14ac:dyDescent="0.25">
      <c r="A49" s="5" t="str">
        <f>HYPERLINK("#'Constants - Electricity'!A1", "Constants - Electricity")</f>
        <v>Constants - Electricity</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Fertiliser'!A1", "Constants - Fertiliser")</f>
        <v>Constants - Fertiliser</v>
      </c>
      <c r="D50" s="27" t="str" cm="1">
        <f t="array" ref="D50">SourceData_PastureBeef.SourceData_PastureBeef_LiveweightNTQLD_Source()</f>
        <v>VEERG 2026: Table A.1.2.2</v>
      </c>
      <c r="M50" s="1"/>
    </row>
    <row r="51" spans="1:16" ht="20.100000000000001" customHeight="1" x14ac:dyDescent="0.25">
      <c r="A51" s="5" t="str">
        <f>HYPERLINK("#'Constants - Fuel'!A1", "Constants - Fuel")</f>
        <v>Constants - Fuel</v>
      </c>
      <c r="D51" s="1" t="str" cm="1">
        <f t="array" ref="D51">SourceData_PastureBeef.SourceData_PastureBeef_LiveweightNTQLD_Variable()</f>
        <v>Wjkl</v>
      </c>
      <c r="M51" s="1"/>
    </row>
    <row r="52" spans="1:16" ht="20.100000000000001" customHeight="1" x14ac:dyDescent="0.25">
      <c r="A52" s="5" t="str">
        <f>HYPERLINK("#'Constants - Scope 3'!A1", "Constants - Scope 3")</f>
        <v>Constants - Scope 3</v>
      </c>
      <c r="D52" s="15" t="str" cm="1">
        <f t="array" ref="D52">SourceData_PastureBeef.SourceData_PastureBeef_LiveweightNTQLD_Unit()</f>
        <v>kg</v>
      </c>
      <c r="M52" s="1"/>
    </row>
    <row r="53" spans="1:16" ht="20.100000000000001" customHeight="1" x14ac:dyDescent="0.25">
      <c r="A53" s="5" t="str">
        <f>HYPERLINK("#'Constants - Common'!A1", "Constants - Common")</f>
        <v>Constants - Common</v>
      </c>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1:16" ht="20.100000000000001" customHeight="1" x14ac:dyDescent="0.25">
      <c r="A54" s="5" t="str">
        <f>HYPERLINK("#'Acknowledgements'!A1", "Acknowledgements")</f>
        <v>Acknowledgements</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Solid Waste'!A1", "Constants - Solid Waste")</f>
        <v>Constants - Solid Waste</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9" t="s">
        <v>190</v>
      </c>
      <c r="H85" s="129" t="s">
        <v>191</v>
      </c>
      <c r="I85" s="129" t="s">
        <v>192</v>
      </c>
      <c r="J85" s="129" t="s">
        <v>193</v>
      </c>
      <c r="K85" s="129" t="s">
        <v>194</v>
      </c>
      <c r="L85" s="129" t="s">
        <v>195</v>
      </c>
      <c r="M85" s="129" t="s">
        <v>196</v>
      </c>
      <c r="N85" s="129" t="s">
        <v>197</v>
      </c>
      <c r="O85" s="129" t="s">
        <v>198</v>
      </c>
      <c r="P85" s="129"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9" t="s">
        <v>190</v>
      </c>
      <c r="H222" s="129" t="s">
        <v>191</v>
      </c>
      <c r="I222" s="129" t="s">
        <v>192</v>
      </c>
      <c r="J222" s="129" t="s">
        <v>193</v>
      </c>
      <c r="K222" s="129" t="s">
        <v>194</v>
      </c>
      <c r="L222" s="129" t="s">
        <v>195</v>
      </c>
      <c r="M222" s="129" t="s">
        <v>196</v>
      </c>
      <c r="N222" s="129" t="s">
        <v>197</v>
      </c>
      <c r="O222" s="129" t="s">
        <v>198</v>
      </c>
      <c r="P222" s="129"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9" t="s">
        <v>190</v>
      </c>
      <c r="F361" s="129" t="s">
        <v>191</v>
      </c>
      <c r="G361" s="129" t="s">
        <v>192</v>
      </c>
      <c r="H361" s="129" t="s">
        <v>193</v>
      </c>
      <c r="I361" s="129" t="s">
        <v>194</v>
      </c>
      <c r="J361" s="129" t="s">
        <v>195</v>
      </c>
      <c r="K361" s="129" t="s">
        <v>196</v>
      </c>
      <c r="L361" s="129" t="s">
        <v>197</v>
      </c>
      <c r="M361" s="129" t="s">
        <v>198</v>
      </c>
      <c r="N361" s="129"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0"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EE20D-51A9-4AD6-B098-C97114173278}">
  <dimension ref="A1:AI235"/>
  <sheetViews>
    <sheetView showGridLines="0" topLeftCell="B16"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898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7" t="s">
        <v>899</v>
      </c>
      <c r="E7" s="247" t="s">
        <v>900</v>
      </c>
      <c r="F7" s="247" t="s">
        <v>901</v>
      </c>
      <c r="G7" s="247" t="s">
        <v>902</v>
      </c>
      <c r="H7" s="247" t="s">
        <v>903</v>
      </c>
      <c r="I7" s="247" t="s">
        <v>904</v>
      </c>
      <c r="J7" s="247" t="s">
        <v>905</v>
      </c>
      <c r="K7" s="247" t="s">
        <v>906</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Pasture'!A1", "Pasture")</f>
        <v>Pasture</v>
      </c>
    </row>
    <row r="14" spans="1:35" ht="20.100000000000001" customHeight="1" x14ac:dyDescent="0.25">
      <c r="A14" s="5" t="str">
        <f>HYPERLINK("#'Input - Fertiliser'!A1", "Fertiliser")</f>
        <v>Fertiliser</v>
      </c>
    </row>
    <row r="15" spans="1:35" ht="20.100000000000001" customHeight="1" x14ac:dyDescent="0.25">
      <c r="A15" s="5" t="str">
        <f>HYPERLINK("#'Input - Fuel'!A1", "Fuel")</f>
        <v>Fuel</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Electricity'!A1", "Electricity")</f>
        <v>Electricity</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Farm Inputs'!A1", "Farm Inputs")</f>
        <v>Farm Inputs</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Freight'!A1", "Freight")</f>
        <v>Freight</v>
      </c>
      <c r="D18" s="8"/>
      <c r="E18" s="8"/>
      <c r="F18" s="8"/>
      <c r="G18" s="8"/>
      <c r="H18" s="8"/>
      <c r="I18" s="8"/>
      <c r="J18" s="8"/>
      <c r="K18" s="8"/>
      <c r="L18" s="8"/>
    </row>
    <row r="19" spans="1:14" ht="20.100000000000001" customHeight="1" x14ac:dyDescent="0.25">
      <c r="A19" s="5" t="str">
        <f>HYPERLINK("#'Input - Manure sent off-site'!A1", "Manure sent off-site")</f>
        <v>Manure sent off-site</v>
      </c>
      <c r="D19" t="s">
        <v>467</v>
      </c>
      <c r="E19" t="s">
        <v>907</v>
      </c>
      <c r="F19" t="s">
        <v>908</v>
      </c>
      <c r="G19" t="s">
        <v>909</v>
      </c>
      <c r="H19" t="s">
        <v>910</v>
      </c>
      <c r="I19" t="s">
        <v>911</v>
      </c>
      <c r="J19" t="s">
        <v>912</v>
      </c>
      <c r="K19" t="s">
        <v>913</v>
      </c>
      <c r="L19" t="s">
        <v>914</v>
      </c>
      <c r="N19" s="2" t="s">
        <v>303</v>
      </c>
    </row>
    <row r="20" spans="1:14" ht="20.100000000000001" customHeight="1" x14ac:dyDescent="0.25">
      <c r="A20" s="5" t="str">
        <f>HYPERLINK("#'Input - Solid waste'!A1", "Solid waste")</f>
        <v>Solid waste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6" t="s">
        <v>2</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HYPERLINK("#'3.2.1.1-2 Enteric Methane'!A1", "3.2.1.1-2 Enteric methane")</f>
        <v>3.2.1.1-2 Enteric methane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HYPERLINK("#'4.2.1.1-2 Methane'!A1", "4.2.1.1-2 Manure methane")</f>
        <v>4.2.1.1-2 Manure methane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HYPERLINK("#'4.2.1.3-4 Soil direct N20'!A1", "4.2.1.3-4 Soil direct N2O")</f>
        <v>4.2.1.3-4 Soil direct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HYPERLINK("#'4.2.1.5-6 Soil Atmos Dep'!A1", "4.2.1.5-6 Soil atm. deposition")</f>
        <v>4.2.1.5-6 Soil atm. deposition</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HYPERLINK("#'4.2.1.7-8 Soil leach runoff'!A1", "4.2.1.7-8 Soil leach &amp; runoff")</f>
        <v>4.2.1.7-8 Soil leach &amp; runoff</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HYPERLINK("#'5.1.1.1-2 Inorganic fert N2O'!A1", "5.1.1.1-2 Inorganic fert N2O")</f>
        <v>5.1.1.1-2 Inorganic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HYPERLINK("#'5.1.1.3-4 Inorganic fert CO2'!A1", "5.1.1.3-4 Inorganic fert CO2")</f>
        <v>5.1.1.3-4 Inorganic fert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HYPERLINK("#'5.2.1.1-2 Organic Fert N2O'!A1", "5.2.1.1-2 Organic fert N2O")</f>
        <v>5.2.1.1-2 Organic fert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HYPERLINK("#'5.3.1.1-2 Lime CO2'!A1", "5.3.1.1-2 Lime CO2")</f>
        <v>5.3.1.1-2 Lime CO2</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HYPERLINK("#'5.4.1.1-4 Atmos deposition'!A1", "5.4.1.1-4 Atmos. deposition")</f>
        <v>5.4.1.1-4 Atmos. deposition</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HYPERLINK("#'5.5.1.1-2 Leaching and runoff'!A1", "5.5.1.1-2 Leaching &amp; runoff")</f>
        <v>5.5.1.1-2 Leaching &amp; runoff</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HYPERLINK("#'6.2.1.1-2 Pasture residue N2O'!A1", "6.2.1.1-2 Pasture residue N2O")</f>
        <v>6.2.1.1-2 Pasture residue N2O</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HYPERLINK("#'6.3.1.1-2 Leach runoff pasture'!A1", "6.3.1.1-2 Leach &amp; runoff (pasture)")</f>
        <v>6.3.1.1-2 Leach &amp; runoff (pasture)</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HYPERLINK("#'8.1.1.1-2 Transport fuel'!A1", "8.1.1.1-2 Transport fuel")</f>
        <v>8.1.1.1-2 Transport fuel</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HYPERLINK("#'8.2.1.1-2 Stationary fuel'!A1", "8.2.1.1-2 Stationary fuel")</f>
        <v>8.2.1.1-2 Stationary fuel</v>
      </c>
      <c r="D38" s="8"/>
      <c r="E38" s="8"/>
      <c r="F38" s="8"/>
      <c r="G38" s="8"/>
      <c r="H38" s="8"/>
      <c r="I38" s="8"/>
      <c r="J38" s="8"/>
      <c r="K38" s="8"/>
      <c r="L38" s="8"/>
    </row>
    <row r="39" spans="1:13" ht="20.100000000000001" customHeight="1" x14ac:dyDescent="0.25">
      <c r="A39" s="5" t="str">
        <f>HYPERLINK("#'14.1.1-2 Purchased electricity'!A1", "14.1.1-2 Purchased electricity")</f>
        <v>14.1.1-2 Purchased electricity</v>
      </c>
      <c r="D39" s="8"/>
      <c r="E39" s="8"/>
      <c r="F39" s="8"/>
      <c r="G39" s="8"/>
      <c r="H39" s="8"/>
      <c r="I39" s="8"/>
      <c r="J39" s="8"/>
      <c r="K39" s="8"/>
      <c r="L39" s="8"/>
    </row>
    <row r="40" spans="1:13" ht="20.100000000000001" customHeight="1" x14ac:dyDescent="0.25">
      <c r="A40" s="5" t="str">
        <f>HYPERLINK("#'15 Scope 3'!A1", "15 Scope 3")</f>
        <v>15 Scope 3</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HYPERLINK("#'Calcs - Manure sent off-site'!A1", "Calcs - Manure sent off-site")</f>
        <v>Calcs - Manure sent off-site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HYPERLINK("#'10.1.1-2 Solid waste treatment'!A1", "10.1.1-2 Solid waste treatment")</f>
        <v>10.1.1-2 Solid waste treatment</v>
      </c>
      <c r="D42" s="27"/>
      <c r="E42" s="35"/>
      <c r="F42" s="35"/>
      <c r="H42" s="8"/>
      <c r="I42" s="8"/>
      <c r="M42" s="35"/>
    </row>
    <row r="43" spans="1:13" ht="20.100000000000001" customHeight="1" x14ac:dyDescent="0.25">
      <c r="D43" s="187" t="s">
        <v>915</v>
      </c>
      <c r="E43" s="187" t="s">
        <v>916</v>
      </c>
      <c r="F43" s="35"/>
      <c r="H43" s="8"/>
      <c r="I43" s="8"/>
      <c r="M43" s="35"/>
    </row>
    <row r="44" spans="1:13" ht="20.100000000000001" customHeight="1" x14ac:dyDescent="0.25">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94" t="s">
        <v>1</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Pasture Beef'!A1", "Constants - Pasture Beef")</f>
        <v>Constants - Pasture Beef</v>
      </c>
      <c r="H46" s="8"/>
      <c r="I46" s="8"/>
      <c r="M46" s="35"/>
    </row>
    <row r="47" spans="1:13" ht="20.100000000000001" customHeight="1" x14ac:dyDescent="0.25">
      <c r="A47" s="128" t="str">
        <f>HYPERLINK("#'Constants - Ag Residue'!A1", "Constants - Ag residue")</f>
        <v>Constants - Ag residue</v>
      </c>
      <c r="M47" s="35"/>
    </row>
    <row r="48" spans="1:13" ht="20.100000000000001" customHeight="1" x14ac:dyDescent="0.25">
      <c r="A48" s="5" t="str">
        <f>HYPERLINK("#'Constants - Common Livestock'!A1", "Constants - Common Livestock")</f>
        <v>Constants - Common Livestock</v>
      </c>
      <c r="D48" s="2" t="str" cm="1">
        <f t="array" ref="D48">Agresidue_SourceData.PastureAttributes_Title()</f>
        <v>Table A.2.1.3 Pasture attributes</v>
      </c>
      <c r="K48" s="8"/>
      <c r="L48" s="8"/>
    </row>
    <row r="49" spans="1:12" ht="20.100000000000001" customHeight="1" x14ac:dyDescent="0.25">
      <c r="A49" s="5" t="str">
        <f>HYPERLINK("#'Constants - Electricity'!A1", "Constants - Electricity")</f>
        <v>Constants - Electricity</v>
      </c>
      <c r="D49" s="27" t="str" cm="1">
        <f t="array" ref="D49">Agresidue_SourceData.PastureAttributes_Source()</f>
        <v>VEERG 2026: Table A.2.1.3: Pasture attributes</v>
      </c>
      <c r="K49" s="8"/>
      <c r="L49" s="8"/>
    </row>
    <row r="50" spans="1:12" ht="20.100000000000001" customHeight="1" x14ac:dyDescent="0.25">
      <c r="A50" s="5" t="str">
        <f>HYPERLINK("#'Constants - Fertiliser'!A1", "Constants - Fertiliser")</f>
        <v>Constants - Fertiliser</v>
      </c>
      <c r="K50" s="8"/>
      <c r="L50" s="8"/>
    </row>
    <row r="51" spans="1:12" ht="20.100000000000001" customHeight="1" x14ac:dyDescent="0.25">
      <c r="A51" s="5" t="str">
        <f>HYPERLINK("#'Constants - Fuel'!A1", "Constants - Fuel")</f>
        <v>Constants - Fuel</v>
      </c>
      <c r="D51" s="30" t="s">
        <v>868</v>
      </c>
      <c r="E51" s="30" t="s">
        <v>917</v>
      </c>
      <c r="F51" s="30" t="s">
        <v>918</v>
      </c>
      <c r="G51" s="30" t="s">
        <v>919</v>
      </c>
      <c r="H51" s="30" t="s">
        <v>920</v>
      </c>
      <c r="I51" s="30" t="s">
        <v>921</v>
      </c>
      <c r="K51" s="8"/>
      <c r="L51" s="8"/>
    </row>
    <row r="52" spans="1:12" ht="20.100000000000001" customHeight="1" x14ac:dyDescent="0.25">
      <c r="A52" s="5" t="str">
        <f>HYPERLINK("#'Constants - Scope 3'!A1", "Constants - Scope 3")</f>
        <v>Constants - Scope 3</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Common'!A1", "Constants - Common")</f>
        <v>Constants - Common</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HYPERLINK("#'Acknowledgements'!A1", "Acknowledgements")</f>
        <v>Acknowledgements</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Solid Waste'!A1", "Constants - Solid Waste")</f>
        <v>Constants - Solid Waste</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H57" s="8"/>
    </row>
    <row r="58" spans="1:12" ht="20.100000000000001" customHeight="1" x14ac:dyDescent="0.25"/>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922</v>
      </c>
      <c r="E62" s="30" t="s">
        <v>923</v>
      </c>
      <c r="F62" s="30" t="s">
        <v>924</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925</v>
      </c>
      <c r="E73" t="s">
        <v>109</v>
      </c>
      <c r="F73" t="s">
        <v>926</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925</v>
      </c>
      <c r="E92" t="s">
        <v>109</v>
      </c>
      <c r="F92" t="s">
        <v>926</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2456D-3BB8-42E3-8B38-BA976996BBB6}">
  <dimension ref="A1:M65"/>
  <sheetViews>
    <sheetView showGridLines="0" topLeftCell="A12"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1180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1181</v>
      </c>
      <c r="E9" s="30" t="s">
        <v>234</v>
      </c>
      <c r="F9" s="30" t="s">
        <v>1182</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Pasture'!A1", "Pasture")</f>
        <v>Pasture</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Fertiliser'!A1", "Fertiliser")</f>
        <v>Fertiliser</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Fuel'!A1", "Fuel")</f>
        <v>Fuel</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Electricity'!A1", "Electricity")</f>
        <v>Electricity</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Farm Inputs'!A1", "Farm Inputs")</f>
        <v>Farm Inputs</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Freight'!A1", "Freight")</f>
        <v>Freight</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Manure sent off-site'!A1", "Manure sent off-site")</f>
        <v>Manure sent off-site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Solid waste'!A1", "Solid waste")</f>
        <v>Solid waste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6" t="s">
        <v>2</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HYPERLINK("#'3.2.1.1-2 Enteric Methane'!A1", "3.2.1.1-2 Enteric methane")</f>
        <v>3.2.1.1-2 Enteric methane</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HYPERLINK("#'4.2.1.1-2 Methane'!A1", "4.2.1.1-2 Manure methane")</f>
        <v>4.2.1.1-2 Manure methane</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HYPERLINK("#'4.2.1.3-4 Soil direct N20'!A1", "4.2.1.3-4 Soil direct N2O")</f>
        <v>4.2.1.3-4 Soil direct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HYPERLINK("#'4.2.1.5-6 Soil Atmos Dep'!A1", "4.2.1.5-6 Soil atm. deposition")</f>
        <v>4.2.1.5-6 Soil atm. deposition</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HYPERLINK("#'4.2.1.7-8 Soil leach runoff'!A1", "4.2.1.7-8 Soil leach &amp; runoff")</f>
        <v>4.2.1.7-8 Soil leach &amp; runoff</v>
      </c>
      <c r="G28" s="35"/>
      <c r="H28" s="35"/>
    </row>
    <row r="29" spans="1:8" ht="20.100000000000001" customHeight="1" x14ac:dyDescent="0.25">
      <c r="A29" s="5" t="str">
        <f>HYPERLINK("#'5.1.1.1-2 Inorganic fert N2O'!A1", "5.1.1.1-2 Inorganic fert N2O")</f>
        <v>5.1.1.1-2 Inorganic fert N2O</v>
      </c>
      <c r="D29" s="2" t="str" cm="1">
        <f t="array" ref="D29">CommonLivestock_SourceData.SourceData_Livestock_Product_BeefCattle_Title()</f>
        <v>Beef cattle products for scope 3</v>
      </c>
    </row>
    <row r="30" spans="1:8" ht="20.100000000000001" customHeight="1" x14ac:dyDescent="0.25">
      <c r="A30" s="5" t="str">
        <f>HYPERLINK("#'5.1.1.3-4 Inorganic fert CO2'!A1", "5.1.1.3-4 Inorganic fert CO2")</f>
        <v>5.1.1.3-4 Inorganic fert CO2</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HYPERLINK("#'5.2.1.1-2 Organic Fert N2O'!A1", "5.2.1.1-2 Organic fert N2O")</f>
        <v>5.2.1.1-2 Organic fert N2O</v>
      </c>
      <c r="D31" s="30" t="s">
        <v>155</v>
      </c>
      <c r="E31" s="30" t="s">
        <v>1183</v>
      </c>
      <c r="F31" s="1" t="s">
        <v>1184</v>
      </c>
    </row>
    <row r="32" spans="1:8" ht="20.100000000000001" customHeight="1" x14ac:dyDescent="0.25">
      <c r="A32" s="5" t="str">
        <f>HYPERLINK("#'5.3.1.1-2 Lime CO2'!A1", "5.3.1.1-2 Lime CO2")</f>
        <v>5.3.1.1-2 Lime CO2</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HYPERLINK("#'5.4.1.1-4 Atmos deposition'!A1", "5.4.1.1-4 Atmos. deposition")</f>
        <v>5.4.1.1-4 Atmos. deposition</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HYPERLINK("#'5.5.1.1-2 Leaching and runoff'!A1", "5.5.1.1-2 Leaching &amp; runoff")</f>
        <v>5.5.1.1-2 Leaching &amp; runoff</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HYPERLINK("#'6.2.1.1-2 Pasture residue N2O'!A1", "6.2.1.1-2 Pasture residue N2O")</f>
        <v>6.2.1.1-2 Pasture residue N2O</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HYPERLINK("#'6.3.1.1-2 Leach runoff pasture'!A1", "6.3.1.1-2 Leach &amp; runoff (pasture)")</f>
        <v>6.3.1.1-2 Leach &amp; runoff (pasture)</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HYPERLINK("#'8.1.1.1-2 Transport fuel'!A1", "8.1.1.1-2 Transport fuel")</f>
        <v>8.1.1.1-2 Transport fuel</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HYPERLINK("#'8.2.1.1-2 Stationary fuel'!A1", "8.2.1.1-2 Stationary fuel")</f>
        <v>8.2.1.1-2 Stationary fuel</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HYPERLINK("#'14.1.1-2 Purchased electricity'!A1", "14.1.1-2 Purchased electricity")</f>
        <v>14.1.1-2 Purchased electricity</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HYPERLINK("#'15 Scope 3'!A1", "15 Scope 3")</f>
        <v>15 Scope 3</v>
      </c>
    </row>
    <row r="41" spans="1:6" ht="20.100000000000001" customHeight="1" x14ac:dyDescent="0.25">
      <c r="A41" s="5" t="str">
        <f>HYPERLINK("#'Calcs - Manure sent off-site'!A1", "Calcs - Manure sent off-site")</f>
        <v>Calcs - Manure sent off-site</v>
      </c>
      <c r="D41" s="2" t="str" cm="1">
        <f t="array" ref="D41">CommonLivestock_SourceData.SourceData_Livestock_Product_Sheep_Title()</f>
        <v>Sheep products for scope 3</v>
      </c>
    </row>
    <row r="42" spans="1:6" ht="20.100000000000001" customHeight="1" x14ac:dyDescent="0.25">
      <c r="A42" s="5" t="str">
        <f>HYPERLINK("#'10.1.1-2 Solid waste treatment'!A1", "10.1.1-2 Solid waste treatment")</f>
        <v>10.1.1-2 Solid waste treatment</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D43" s="30" t="s">
        <v>155</v>
      </c>
      <c r="E43" s="30" t="s">
        <v>1183</v>
      </c>
      <c r="F43" s="1" t="s">
        <v>1185</v>
      </c>
    </row>
    <row r="44" spans="1:6" ht="20.100000000000001" customHeight="1" x14ac:dyDescent="0.25">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94" t="s">
        <v>1</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Pasture Beef'!A1", "Constants - Pasture Beef")</f>
        <v>Constants - Pasture Beef</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Ag Residue'!A1", "Constants - Ag residue")</f>
        <v>Constants - Ag residue</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128" t="str">
        <f>HYPERLINK("#'Constants - Common Livestock'!A1", "Constants - Common Livestock")</f>
        <v>Constants - Common Livestock</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Electricity'!A1", "Constants - Electricity")</f>
        <v>Constants - Electricity</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Fertiliser'!A1", "Constants - Fertiliser")</f>
        <v>Constants - Fertiliser</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Fuel'!A1", "Constants - Fuel")</f>
        <v>Constants - Fuel</v>
      </c>
    </row>
    <row r="52" spans="1:6" ht="20.100000000000001" customHeight="1" x14ac:dyDescent="0.25">
      <c r="A52" s="5" t="str">
        <f>HYPERLINK("#'Constants - Scope 3'!A1", "Constants - Scope 3")</f>
        <v>Constants - Scope 3</v>
      </c>
      <c r="D52" s="2" t="str" cm="1">
        <f t="array" ref="D52">CommonLivestock_SourceData.SourceData_Livestock_Product_Chickens_Title()</f>
        <v>Chickens products for scope 3</v>
      </c>
    </row>
    <row r="53" spans="1:6" ht="20.100000000000001" customHeight="1" x14ac:dyDescent="0.25">
      <c r="A53" s="5" t="str">
        <f>HYPERLINK("#'Constants - Common'!A1", "Constants - Common")</f>
        <v>Constants - Common</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HYPERLINK("#'Acknowledgements'!A1", "Acknowledgements")</f>
        <v>Acknowledgements</v>
      </c>
      <c r="D54" s="30" t="s">
        <v>155</v>
      </c>
      <c r="E54" s="30" t="s">
        <v>1183</v>
      </c>
      <c r="F54" s="1" t="s">
        <v>1186</v>
      </c>
    </row>
    <row r="55" spans="1:6" ht="20.100000000000001" customHeight="1" x14ac:dyDescent="0.25">
      <c r="A55" s="5" t="str">
        <f>HYPERLINK("#'Constants - Solid Waste'!A1", "Constants - Solid Waste")</f>
        <v>Constants - Solid Waste</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row r="57" spans="1:6" ht="20.100000000000001" customHeight="1" x14ac:dyDescent="0.25">
      <c r="D57" s="2" t="str" cm="1">
        <f t="array" ref="D57">CommonLivestock_SourceData.SourceData_Livestock_Product_Dairycattle_Title()</f>
        <v>Dairy cattle products for scope 3</v>
      </c>
    </row>
    <row r="58" spans="1: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155</v>
      </c>
      <c r="E59" s="30" t="s">
        <v>1183</v>
      </c>
      <c r="F59" s="1" t="s">
        <v>1187</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155</v>
      </c>
      <c r="E64" s="30" t="s">
        <v>1183</v>
      </c>
      <c r="F64" s="1" t="s">
        <v>1188</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1227E-3409-4A4D-BA35-E811B540DA36}">
  <dimension ref="A1:AI165"/>
  <sheetViews>
    <sheetView showGridLines="0" topLeftCell="A7"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6" t="s">
        <v>692</v>
      </c>
      <c r="E9" s="196" t="s">
        <v>693</v>
      </c>
      <c r="F9" s="196" t="s">
        <v>694</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Pasture'!A1", "Pasture")</f>
        <v>Pasture</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Fertiliser'!A1", "Fertiliser")</f>
        <v>Fertiliser</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Fuel'!A1", "Fuel")</f>
        <v>Fuel</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Electricity'!A1", "Electricity")</f>
        <v>Electricity</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Farm Inputs'!A1", "Farm Inputs")</f>
        <v>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Manure sent off-site'!A1", "Manure sent off-site")</f>
        <v>Manure sent off-site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Solid waste'!A1", "Solid waste")</f>
        <v>Solid waste</v>
      </c>
    </row>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D22" s="27" t="str" cm="1">
        <f t="array" ref="D22">Electricity_SourceData.Electricity_Scope2Scope3MarketBased_Source()</f>
        <v>Australian National Greenhouse Accounts Factors 2025 - Table 2a</v>
      </c>
    </row>
    <row r="23" spans="1:8" ht="20.100000000000001" customHeight="1" x14ac:dyDescent="0.25">
      <c r="A23" s="6" t="s">
        <v>2</v>
      </c>
    </row>
    <row r="24" spans="1:8" ht="20.100000000000001" customHeight="1" x14ac:dyDescent="0.25">
      <c r="A24" s="5" t="str">
        <f>HYPERLINK("#'3.2.1.1-2 Enteric Methane'!A1", "3.2.1.1-2 Enteric methane")</f>
        <v>3.2.1.1-2 Enteric methane</v>
      </c>
      <c r="D24" s="187" t="s">
        <v>692</v>
      </c>
      <c r="E24" s="187" t="s">
        <v>695</v>
      </c>
      <c r="F24" s="187" t="s">
        <v>696</v>
      </c>
      <c r="G24" s="187" t="s">
        <v>697</v>
      </c>
      <c r="H24" s="187" t="s">
        <v>698</v>
      </c>
    </row>
    <row r="25" spans="1:8" ht="20.100000000000001" customHeight="1" x14ac:dyDescent="0.25">
      <c r="A25" s="5" t="str">
        <f>HYPERLINK("#'4.2.1.1-2 Methane'!A1", "4.2.1.1-2 Manure methane")</f>
        <v>4.2.1.1-2 Manure methane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HYPERLINK("#'4.2.1.3-4 Soil direct N20'!A1", "4.2.1.3-4 Soil direct N2O")</f>
        <v>4.2.1.3-4 Soil direct N2O</v>
      </c>
    </row>
    <row r="27" spans="1:8" ht="20.100000000000001" customHeight="1" x14ac:dyDescent="0.25">
      <c r="A27" s="5" t="str">
        <f>HYPERLINK("#'4.2.1.5-6 Soil Atmos Dep'!A1", "4.2.1.5-6 Soil atm. deposition")</f>
        <v>4.2.1.5-6 Soil atm. deposition</v>
      </c>
    </row>
    <row r="28" spans="1:8" ht="20.100000000000001" customHeight="1" x14ac:dyDescent="0.25">
      <c r="A28" s="5" t="str">
        <f>HYPERLINK("#'4.2.1.7-8 Soil leach runoff'!A1", "4.2.1.7-8 Soil leach &amp; runoff")</f>
        <v>4.2.1.7-8 Soil leach &amp; runoff</v>
      </c>
    </row>
    <row r="29" spans="1:8" ht="20.100000000000001" customHeight="1" x14ac:dyDescent="0.25">
      <c r="A29" s="5" t="str">
        <f>HYPERLINK("#'5.1.1.1-2 Inorganic fert N2O'!A1", "5.1.1.1-2 Inorganic fert N2O")</f>
        <v>5.1.1.1-2 Inorganic fert N2O</v>
      </c>
    </row>
    <row r="30" spans="1:8" ht="20.100000000000001" customHeight="1" x14ac:dyDescent="0.25">
      <c r="A30" s="5" t="str">
        <f>HYPERLINK("#'5.1.1.3-4 Inorganic fert CO2'!A1", "5.1.1.3-4 Inorganic fert CO2")</f>
        <v>5.1.1.3-4 Inorganic fert CO2</v>
      </c>
    </row>
    <row r="31" spans="1:8" ht="20.100000000000001" customHeight="1" x14ac:dyDescent="0.25">
      <c r="A31" s="5" t="str">
        <f>HYPERLINK("#'5.2.1.1-2 Organic Fert N2O'!A1", "5.2.1.1-2 Organic fert N2O")</f>
        <v>5.2.1.1-2 Organic fert N2O</v>
      </c>
    </row>
    <row r="32" spans="1:8" ht="20.100000000000001" customHeight="1" x14ac:dyDescent="0.25">
      <c r="A32" s="5" t="str">
        <f>HYPERLINK("#'5.3.1.1-2 Lime CO2'!A1", "5.3.1.1-2 Lime CO2")</f>
        <v>5.3.1.1-2 Lime CO2</v>
      </c>
    </row>
    <row r="33" spans="1:1" ht="20.100000000000001" customHeight="1" x14ac:dyDescent="0.25">
      <c r="A33" s="5" t="str">
        <f>HYPERLINK("#'5.4.1.1-4 Atmos deposition'!A1", "5.4.1.1-4 Atmos. deposition")</f>
        <v>5.4.1.1-4 Atmos. deposition</v>
      </c>
    </row>
    <row r="34" spans="1:1" ht="20.100000000000001" customHeight="1" x14ac:dyDescent="0.25">
      <c r="A34" s="5" t="str">
        <f>HYPERLINK("#'5.5.1.1-2 Leaching and runoff'!A1", "5.5.1.1-2 Leaching &amp; runoff")</f>
        <v>5.5.1.1-2 Leaching &amp; runoff</v>
      </c>
    </row>
    <row r="35" spans="1:1" ht="20.100000000000001" customHeight="1" x14ac:dyDescent="0.25">
      <c r="A35" s="5" t="str">
        <f>HYPERLINK("#'6.2.1.1-2 Pasture residue N2O'!A1", "6.2.1.1-2 Pasture residue N2O")</f>
        <v>6.2.1.1-2 Pasture residue N2O</v>
      </c>
    </row>
    <row r="36" spans="1:1" ht="20.100000000000001" customHeight="1" x14ac:dyDescent="0.25">
      <c r="A36" s="5" t="str">
        <f>HYPERLINK("#'6.3.1.1-2 Leach runoff pasture'!A1", "6.3.1.1-2 Leach &amp; runoff (pasture)")</f>
        <v>6.3.1.1-2 Leach &amp; runoff (pasture)</v>
      </c>
    </row>
    <row r="37" spans="1:1" ht="20.100000000000001" customHeight="1" x14ac:dyDescent="0.25">
      <c r="A37" s="5" t="str">
        <f>HYPERLINK("#'8.1.1.1-2 Transport fuel'!A1", "8.1.1.1-2 Transport fuel")</f>
        <v>8.1.1.1-2 Transport fuel</v>
      </c>
    </row>
    <row r="38" spans="1:1" ht="20.100000000000001" customHeight="1" x14ac:dyDescent="0.25">
      <c r="A38" s="5" t="str">
        <f>HYPERLINK("#'8.2.1.1-2 Stationary fuel'!A1", "8.2.1.1-2 Stationary fuel")</f>
        <v>8.2.1.1-2 Stationary fuel</v>
      </c>
    </row>
    <row r="39" spans="1:1" ht="20.100000000000001" customHeight="1" x14ac:dyDescent="0.25">
      <c r="A39" s="5" t="str">
        <f>HYPERLINK("#'14.1.1-2 Purchased electricity'!A1", "14.1.1-2 Purchased electricity")</f>
        <v>14.1.1-2 Purchased electricity</v>
      </c>
    </row>
    <row r="40" spans="1:1" ht="20.100000000000001" customHeight="1" x14ac:dyDescent="0.25">
      <c r="A40" s="5" t="str">
        <f>HYPERLINK("#'15 Scope 3'!A1", "15 Scope 3")</f>
        <v>15 Scope 3</v>
      </c>
    </row>
    <row r="41" spans="1:1" ht="20.100000000000001" customHeight="1" x14ac:dyDescent="0.25">
      <c r="A41" s="5" t="str">
        <f>HYPERLINK("#'Calcs - Manure sent off-site'!A1", "Calcs - Manure sent off-site")</f>
        <v>Calcs - Manure sent off-site</v>
      </c>
    </row>
    <row r="42" spans="1:1" ht="20.100000000000001" customHeight="1" x14ac:dyDescent="0.25">
      <c r="A42" s="5" t="str">
        <f>HYPERLINK("#'10.1.1-2 Solid waste treatment'!A1", "10.1.1-2 Solid waste treatment")</f>
        <v>10.1.1-2 Solid waste treatment</v>
      </c>
    </row>
    <row r="43" spans="1:1" ht="20.100000000000001" customHeight="1" x14ac:dyDescent="0.25"/>
    <row r="44" spans="1:1" ht="20.100000000000001" customHeight="1" x14ac:dyDescent="0.25"/>
    <row r="45" spans="1:1" ht="20.100000000000001" customHeight="1" x14ac:dyDescent="0.25">
      <c r="A45" s="94" t="s">
        <v>1</v>
      </c>
    </row>
    <row r="46" spans="1:1" ht="20.100000000000001" customHeight="1" x14ac:dyDescent="0.25">
      <c r="A46" s="5" t="str">
        <f>HYPERLINK("#'Constants - Pasture Beef'!A1", "Constants - Pasture Beef")</f>
        <v>Constants - Pasture Beef</v>
      </c>
    </row>
    <row r="47" spans="1:1" ht="20.100000000000001" customHeight="1" x14ac:dyDescent="0.25">
      <c r="A47" s="5" t="str">
        <f>HYPERLINK("#'Constants - Ag Residue'!A1", "Constants - Ag residue")</f>
        <v>Constants - Ag residue</v>
      </c>
    </row>
    <row r="48" spans="1:1" ht="20.100000000000001" customHeight="1" x14ac:dyDescent="0.25">
      <c r="A48" s="5" t="str">
        <f>HYPERLINK("#'Constants - Common Livestock'!A1", "Constants - Common Livestock")</f>
        <v>Constants - Common Livestock</v>
      </c>
    </row>
    <row r="49" spans="1:1" ht="20.100000000000001" customHeight="1" x14ac:dyDescent="0.25">
      <c r="A49" s="128"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89BF1-5ECD-44FA-9C26-BF2B0B060581}">
  <dimension ref="A1:AI165"/>
  <sheetViews>
    <sheetView showGridLines="0" topLeftCell="E17"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8"/>
      <c r="F5" s="178"/>
      <c r="G5" s="178"/>
      <c r="H5" s="178"/>
      <c r="I5" s="178"/>
      <c r="J5" s="178"/>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Pasture'!A1", "Pasture")</f>
        <v>Pasture</v>
      </c>
      <c r="D13" s="36" t="str">
        <v>Excluded 'References' column</v>
      </c>
    </row>
    <row r="14" spans="1:35" ht="20.100000000000001" customHeight="1" x14ac:dyDescent="0.25">
      <c r="A14" s="5" t="str">
        <f>HYPERLINK("#'Input - Fertiliser'!A1", "Fertiliser")</f>
        <v>Fertiliser</v>
      </c>
      <c r="D14" s="36" t="str">
        <v>Excluded 'Ammonium sulfate' as it is a duplicate of 'Sulphate of ammonia (SOA)'</v>
      </c>
    </row>
    <row r="15" spans="1:35" ht="20.100000000000001" customHeight="1" x14ac:dyDescent="0.25">
      <c r="A15" s="5" t="str">
        <f>HYPERLINK("#'Input - Fuel'!A1", "Fuel")</f>
        <v>Fuel</v>
      </c>
      <c r="D15" s="36" t="str">
        <v>Excluded 'Calcium nitrate' as no scope 3 value available.</v>
      </c>
    </row>
    <row r="16" spans="1:35" ht="20.100000000000001" customHeight="1" x14ac:dyDescent="0.25">
      <c r="A16" s="5" t="str">
        <f>HYPERLINK("#'Input - Electricity'!A1", "Electricity")</f>
        <v>Electricity</v>
      </c>
      <c r="D16" s="36" t="str">
        <v>Set 'Nitrogen - Generic' basis as 'Urea-based fertilisers, as urea is the most commonly used form of nitrogen in Australian fertilisers</v>
      </c>
    </row>
    <row r="17" spans="1:22" ht="20.100000000000001" customHeight="1" x14ac:dyDescent="0.25">
      <c r="A17" s="5" t="str">
        <f>HYPERLINK("#'Input - Farm Inputs'!A1", "Farm Inputs")</f>
        <v>Farm Inputs</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Manure sent off-site'!A1", "Manure sent off-site")</f>
        <v>Manure sent off-site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HYPERLINK("#'Input - Solid waste'!A1", "Solid waste")</f>
        <v>Solid waste</v>
      </c>
      <c r="D20" s="187" t="str" cm="1">
        <f t="array" ref="D20">Common_InputFunctions.Utility_DisplayArrayInTable(Fertiliser_SourceData.Fertiliser_ChemicalCompoundElements_Data(),Table_Fertiliser_ChemicalCompounds[[#Headers],[Fertiliser type f]], 0)</f>
        <v>Monoammonium phosphate (MAP)</v>
      </c>
      <c r="E20" s="187" cm="1">
        <f t="array" ref="E20">Common_InputFunctions.Utility_DisplayArrayInTable(Fertiliser_SourceData.Fertiliser_ChemicalCompoundElements_Data(),Table_Fertiliser_ChemicalCompounds[[#Headers],[Fertiliser type f]], 0)</f>
        <v>0.1</v>
      </c>
      <c r="F20" s="187" cm="1">
        <f t="array" ref="F20">Common_InputFunctions.Utility_DisplayArrayInTable(Fertiliser_SourceData.Fertiliser_ChemicalCompoundElements_Data(),Table_Fertiliser_ChemicalCompounds[[#Headers],[Fertiliser type f]], 0)</f>
        <v>0</v>
      </c>
      <c r="G20" s="187" t="str" cm="1">
        <f t="array" ref="G20">Common_InputFunctions.Utility_DisplayArrayInTable(Fertiliser_SourceData.Fertiliser_ChemicalCompoundElements_Data(),Table_Fertiliser_ChemicalCompounds[[#Headers],[Fertiliser type f]], 0)</f>
        <v>Ammonium-based fertilisers</v>
      </c>
      <c r="H20" s="187" t="str" cm="1">
        <f t="array" ref="H20">Common_InputFunctions.Utility_DisplayArrayInTable(Fertiliser_SourceData.Fertiliser_ChemicalCompoundElements_Data(),Table_Fertiliser_ChemicalCompounds[[#Headers],[Fertiliser type f]], 0)</f>
        <v>Monoammonium phosphate (MAP)</v>
      </c>
      <c r="I20" s="187"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87" t="str" cm="1">
        <f t="array" ref="D21">Common_InputFunctions.Utility_DisplayArrayInTable(Fertiliser_SourceData.Fertiliser_ChemicalCompoundElements_Data(),Table_Fertiliser_ChemicalCompounds[[#Headers],[Fertiliser type f]], 0)</f>
        <v>Diammonium phosphate (DAP)</v>
      </c>
      <c r="E21" s="187" cm="1">
        <f t="array" ref="E21">Common_InputFunctions.Utility_DisplayArrayInTable(Fertiliser_SourceData.Fertiliser_ChemicalCompoundElements_Data(),Table_Fertiliser_ChemicalCompounds[[#Headers],[Fertiliser type f]], 0)</f>
        <v>0.18</v>
      </c>
      <c r="F21" s="187" cm="1">
        <f t="array" ref="F21">Common_InputFunctions.Utility_DisplayArrayInTable(Fertiliser_SourceData.Fertiliser_ChemicalCompoundElements_Data(),Table_Fertiliser_ChemicalCompounds[[#Headers],[Fertiliser type f]], 0)</f>
        <v>0</v>
      </c>
      <c r="G21" s="187" t="str" cm="1">
        <f t="array" ref="G21">Common_InputFunctions.Utility_DisplayArrayInTable(Fertiliser_SourceData.Fertiliser_ChemicalCompoundElements_Data(),Table_Fertiliser_ChemicalCompounds[[#Headers],[Fertiliser type f]], 0)</f>
        <v>Ammonium-based fertilisers</v>
      </c>
      <c r="H21" s="187" t="str" cm="1">
        <f t="array" ref="H21">Common_InputFunctions.Utility_DisplayArrayInTable(Fertiliser_SourceData.Fertiliser_ChemicalCompoundElements_Data(),Table_Fertiliser_ChemicalCompounds[[#Headers],[Fertiliser type f]], 0)</f>
        <v>Diammonium phosphate (DAP)</v>
      </c>
      <c r="I21" s="187"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87" t="str" cm="1">
        <f t="array" ref="D22">Common_InputFunctions.Utility_DisplayArrayInTable(Fertiliser_SourceData.Fertiliser_ChemicalCompoundElements_Data(),Table_Fertiliser_ChemicalCompounds[[#Headers],[Fertiliser type f]], 0)</f>
        <v>Urea</v>
      </c>
      <c r="E22" s="187" cm="1">
        <f t="array" ref="E22">Common_InputFunctions.Utility_DisplayArrayInTable(Fertiliser_SourceData.Fertiliser_ChemicalCompoundElements_Data(),Table_Fertiliser_ChemicalCompounds[[#Headers],[Fertiliser type f]], 0)</f>
        <v>0.46</v>
      </c>
      <c r="F22" s="187" cm="1">
        <f t="array" ref="F22">Common_InputFunctions.Utility_DisplayArrayInTable(Fertiliser_SourceData.Fertiliser_ChemicalCompoundElements_Data(),Table_Fertiliser_ChemicalCompounds[[#Headers],[Fertiliser type f]], 0)</f>
        <v>1</v>
      </c>
      <c r="G22" s="187" t="str" cm="1">
        <f t="array" ref="G22">Common_InputFunctions.Utility_DisplayArrayInTable(Fertiliser_SourceData.Fertiliser_ChemicalCompoundElements_Data(),Table_Fertiliser_ChemicalCompounds[[#Headers],[Fertiliser type f]], 0)</f>
        <v>Urea-based fertilisers</v>
      </c>
      <c r="H22" s="187" t="str" cm="1">
        <f t="array" ref="H22">Common_InputFunctions.Utility_DisplayArrayInTable(Fertiliser_SourceData.Fertiliser_ChemicalCompoundElements_Data(),Table_Fertiliser_ChemicalCompounds[[#Headers],[Fertiliser type f]], 0)</f>
        <v>Urea</v>
      </c>
      <c r="I22" s="187"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6" t="s">
        <v>2</v>
      </c>
      <c r="D23" s="187" t="str" cm="1">
        <f t="array" ref="D23">Common_InputFunctions.Utility_DisplayArrayInTable(Fertiliser_SourceData.Fertiliser_ChemicalCompoundElements_Data(),Table_Fertiliser_ChemicalCompounds[[#Headers],[Fertiliser type f]], 0)</f>
        <v>Sulphate of ammonia (SOA)</v>
      </c>
      <c r="E23" s="187" cm="1">
        <f t="array" ref="E23">Common_InputFunctions.Utility_DisplayArrayInTable(Fertiliser_SourceData.Fertiliser_ChemicalCompoundElements_Data(),Table_Fertiliser_ChemicalCompounds[[#Headers],[Fertiliser type f]], 0)</f>
        <v>0.21</v>
      </c>
      <c r="F23" s="187" cm="1">
        <f t="array" ref="F23">Common_InputFunctions.Utility_DisplayArrayInTable(Fertiliser_SourceData.Fertiliser_ChemicalCompoundElements_Data(),Table_Fertiliser_ChemicalCompounds[[#Headers],[Fertiliser type f]], 0)</f>
        <v>0</v>
      </c>
      <c r="G23" s="187" t="str" cm="1">
        <f t="array" ref="G23">Common_InputFunctions.Utility_DisplayArrayInTable(Fertiliser_SourceData.Fertiliser_ChemicalCompoundElements_Data(),Table_Fertiliser_ChemicalCompounds[[#Headers],[Fertiliser type f]], 0)</f>
        <v>Ammonium-based fertilisers</v>
      </c>
      <c r="H23" s="187" t="str" cm="1">
        <f t="array" ref="H23">Common_InputFunctions.Utility_DisplayArrayInTable(Fertiliser_SourceData.Fertiliser_ChemicalCompoundElements_Data(),Table_Fertiliser_ChemicalCompounds[[#Headers],[Fertiliser type f]], 0)</f>
        <v>Sulphate of ammonia (SOA)</v>
      </c>
      <c r="I23" s="187"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HYPERLINK("#'3.2.1.1-2 Enteric Methane'!A1", "3.2.1.1-2 Enteric methane")</f>
        <v>3.2.1.1-2 Enteric methane</v>
      </c>
      <c r="D24" s="187" t="str" cm="1">
        <f t="array" ref="D24">Common_InputFunctions.Utility_DisplayArrayInTable(Fertiliser_SourceData.Fertiliser_ChemicalCompoundElements_Data(),Table_Fertiliser_ChemicalCompounds[[#Headers],[Fertiliser type f]], 0)</f>
        <v>Urea-ammonium nitrate (UAN)</v>
      </c>
      <c r="E24" s="187" cm="1">
        <f t="array" ref="E24">Common_InputFunctions.Utility_DisplayArrayInTable(Fertiliser_SourceData.Fertiliser_ChemicalCompoundElements_Data(),Table_Fertiliser_ChemicalCompounds[[#Headers],[Fertiliser type f]], 0)</f>
        <v>0.32</v>
      </c>
      <c r="F24" s="187" cm="1">
        <f t="array" ref="F24">Common_InputFunctions.Utility_DisplayArrayInTable(Fertiliser_SourceData.Fertiliser_ChemicalCompoundElements_Data(),Table_Fertiliser_ChemicalCompounds[[#Headers],[Fertiliser type f]], 0)</f>
        <v>0.35</v>
      </c>
      <c r="G24" s="187" t="str" cm="1">
        <f t="array" ref="G24">Common_InputFunctions.Utility_DisplayArrayInTable(Fertiliser_SourceData.Fertiliser_ChemicalCompoundElements_Data(),Table_Fertiliser_ChemicalCompounds[[#Headers],[Fertiliser type f]], 0)</f>
        <v>Urea-based fertilisers</v>
      </c>
      <c r="H24" s="187" t="str" cm="1">
        <f t="array" ref="H24">Common_InputFunctions.Utility_DisplayArrayInTable(Fertiliser_SourceData.Fertiliser_ChemicalCompoundElements_Data(),Table_Fertiliser_ChemicalCompounds[[#Headers],[Fertiliser type f]], 0)</f>
        <v>Urea-ammonium nitrate (UAN)</v>
      </c>
      <c r="I24" s="187"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HYPERLINK("#'4.2.1.1-2 Methane'!A1", "4.2.1.1-2 Manure methane")</f>
        <v>4.2.1.1-2 Manure methane</v>
      </c>
      <c r="D25" s="187" t="str" cm="1">
        <f t="array" ref="D25">Common_InputFunctions.Utility_DisplayArrayInTable(Fertiliser_SourceData.Fertiliser_ChemicalCompoundElements_Data(),Table_Fertiliser_ChemicalCompounds[[#Headers],[Fertiliser type f]], 0)</f>
        <v>Ammonium nitrate (AN)</v>
      </c>
      <c r="E25" s="187" cm="1">
        <f t="array" ref="E25">Common_InputFunctions.Utility_DisplayArrayInTable(Fertiliser_SourceData.Fertiliser_ChemicalCompoundElements_Data(),Table_Fertiliser_ChemicalCompounds[[#Headers],[Fertiliser type f]], 0)</f>
        <v>0.33700000000000002</v>
      </c>
      <c r="F25" s="187" cm="1">
        <f t="array" ref="F25">Common_InputFunctions.Utility_DisplayArrayInTable(Fertiliser_SourceData.Fertiliser_ChemicalCompoundElements_Data(),Table_Fertiliser_ChemicalCompounds[[#Headers],[Fertiliser type f]], 0)</f>
        <v>0</v>
      </c>
      <c r="G25" s="187" t="str" cm="1">
        <f t="array" ref="G25">Common_InputFunctions.Utility_DisplayArrayInTable(Fertiliser_SourceData.Fertiliser_ChemicalCompoundElements_Data(),Table_Fertiliser_ChemicalCompounds[[#Headers],[Fertiliser type f]], 0)</f>
        <v>Ammonium-nitrate based fertilisers</v>
      </c>
      <c r="H25" s="187" t="str" cm="1">
        <f t="array" ref="H25">Common_InputFunctions.Utility_DisplayArrayInTable(Fertiliser_SourceData.Fertiliser_ChemicalCompoundElements_Data(),Table_Fertiliser_ChemicalCompounds[[#Headers],[Fertiliser type f]], 0)</f>
        <v>Ammonium nitrate (AN)</v>
      </c>
      <c r="I25" s="187"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HYPERLINK("#'4.2.1.3-4 Soil direct N20'!A1", "4.2.1.3-4 Soil direct N2O")</f>
        <v>4.2.1.3-4 Soil direct N2O</v>
      </c>
      <c r="D26" s="187" t="str" cm="1">
        <f t="array" ref="D26">Common_InputFunctions.Utility_DisplayArrayInTable(Fertiliser_SourceData.Fertiliser_ChemicalCompoundElements_Data(),Table_Fertiliser_ChemicalCompounds[[#Headers],[Fertiliser type f]], 0)</f>
        <v>Calcium ammonium nitrate (CAN)</v>
      </c>
      <c r="E26" s="187" cm="1">
        <f t="array" ref="E26">Common_InputFunctions.Utility_DisplayArrayInTable(Fertiliser_SourceData.Fertiliser_ChemicalCompoundElements_Data(),Table_Fertiliser_ChemicalCompounds[[#Headers],[Fertiliser type f]], 0)</f>
        <v>0.27</v>
      </c>
      <c r="F26" s="187" cm="1">
        <f t="array" ref="F26">Common_InputFunctions.Utility_DisplayArrayInTable(Fertiliser_SourceData.Fertiliser_ChemicalCompoundElements_Data(),Table_Fertiliser_ChemicalCompounds[[#Headers],[Fertiliser type f]], 0)</f>
        <v>0</v>
      </c>
      <c r="G26" s="187" t="str" cm="1">
        <f t="array" ref="G26">Common_InputFunctions.Utility_DisplayArrayInTable(Fertiliser_SourceData.Fertiliser_ChemicalCompoundElements_Data(),Table_Fertiliser_ChemicalCompounds[[#Headers],[Fertiliser type f]], 0)</f>
        <v>Ammonium-nitrate based fertilisers</v>
      </c>
      <c r="H26" s="187" t="str" cm="1">
        <f t="array" ref="H26">Common_InputFunctions.Utility_DisplayArrayInTable(Fertiliser_SourceData.Fertiliser_ChemicalCompoundElements_Data(),Table_Fertiliser_ChemicalCompounds[[#Headers],[Fertiliser type f]], 0)</f>
        <v>Calcium ammonium nitrate (CAN)</v>
      </c>
      <c r="I26" s="187"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HYPERLINK("#'4.2.1.5-6 Soil Atmos Dep'!A1", "4.2.1.5-6 Soil atm. deposition")</f>
        <v>4.2.1.5-6 Soil atm. deposition</v>
      </c>
      <c r="D27" s="187" t="str" cm="1">
        <f t="array" ref="D27">Common_InputFunctions.Utility_DisplayArrayInTable(Fertiliser_SourceData.Fertiliser_ChemicalCompoundElements_Data(),Table_Fertiliser_ChemicalCompounds[[#Headers],[Fertiliser type f]], 0)</f>
        <v>Nitrogen - Ammoniacal</v>
      </c>
      <c r="E27" s="187" cm="1">
        <f t="array" ref="E27">Common_InputFunctions.Utility_DisplayArrayInTable(Fertiliser_SourceData.Fertiliser_ChemicalCompoundElements_Data(),Table_Fertiliser_ChemicalCompounds[[#Headers],[Fertiliser type f]], 0)</f>
        <v>1</v>
      </c>
      <c r="F27" s="187" cm="1">
        <f t="array" ref="F27">Common_InputFunctions.Utility_DisplayArrayInTable(Fertiliser_SourceData.Fertiliser_ChemicalCompoundElements_Data(),Table_Fertiliser_ChemicalCompounds[[#Headers],[Fertiliser type f]], 0)</f>
        <v>0</v>
      </c>
      <c r="G27" s="187" t="str" cm="1">
        <f t="array" ref="G27">Common_InputFunctions.Utility_DisplayArrayInTable(Fertiliser_SourceData.Fertiliser_ChemicalCompoundElements_Data(),Table_Fertiliser_ChemicalCompounds[[#Headers],[Fertiliser type f]], 0)</f>
        <v>Ammonium-based fertilisers</v>
      </c>
      <c r="H27" s="187" t="str" cm="1">
        <f t="array" ref="H27">Common_InputFunctions.Utility_DisplayArrayInTable(Fertiliser_SourceData.Fertiliser_ChemicalCompoundElements_Data(),Table_Fertiliser_ChemicalCompounds[[#Headers],[Fertiliser type f]], 0)</f>
        <v>Nitrogen - Ammoniacal</v>
      </c>
      <c r="I27" s="187"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HYPERLINK("#'4.2.1.7-8 Soil leach runoff'!A1", "4.2.1.7-8 Soil leach &amp; runoff")</f>
        <v>4.2.1.7-8 Soil leach &amp; runoff</v>
      </c>
      <c r="D28" s="187" t="str" cm="1">
        <f t="array" ref="D28">Common_InputFunctions.Utility_DisplayArrayInTable(Fertiliser_SourceData.Fertiliser_ChemicalCompoundElements_Data(),Table_Fertiliser_ChemicalCompounds[[#Headers],[Fertiliser type f]], 0)</f>
        <v>Nitrogen - Nitrate</v>
      </c>
      <c r="E28" s="187" cm="1">
        <f t="array" ref="E28">Common_InputFunctions.Utility_DisplayArrayInTable(Fertiliser_SourceData.Fertiliser_ChemicalCompoundElements_Data(),Table_Fertiliser_ChemicalCompounds[[#Headers],[Fertiliser type f]], 0)</f>
        <v>1</v>
      </c>
      <c r="F28" s="187" cm="1">
        <f t="array" ref="F28">Common_InputFunctions.Utility_DisplayArrayInTable(Fertiliser_SourceData.Fertiliser_ChemicalCompoundElements_Data(),Table_Fertiliser_ChemicalCompounds[[#Headers],[Fertiliser type f]], 0)</f>
        <v>0</v>
      </c>
      <c r="G28" s="187" t="str" cm="1">
        <f t="array" ref="G28">Common_InputFunctions.Utility_DisplayArrayInTable(Fertiliser_SourceData.Fertiliser_ChemicalCompoundElements_Data(),Table_Fertiliser_ChemicalCompounds[[#Headers],[Fertiliser type f]], 0)</f>
        <v>Nitrate-based fertilisers</v>
      </c>
      <c r="H28" s="187" t="str" cm="1">
        <f t="array" ref="H28">Common_InputFunctions.Utility_DisplayArrayInTable(Fertiliser_SourceData.Fertiliser_ChemicalCompoundElements_Data(),Table_Fertiliser_ChemicalCompounds[[#Headers],[Fertiliser type f]], 0)</f>
        <v>Nitrogen from Nitrate</v>
      </c>
      <c r="I28" s="187"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HYPERLINK("#'5.1.1.1-2 Inorganic fert N2O'!A1", "5.1.1.1-2 Inorganic fert N2O")</f>
        <v>5.1.1.1-2 Inorganic fert N2O</v>
      </c>
      <c r="D29" s="187" t="str" cm="1">
        <f t="array" ref="D29">Common_InputFunctions.Utility_DisplayArrayInTable(Fertiliser_SourceData.Fertiliser_ChemicalCompoundElements_Data(),Table_Fertiliser_ChemicalCompounds[[#Headers],[Fertiliser type f]], 0)</f>
        <v>Nitrogen - Generic</v>
      </c>
      <c r="E29" s="187" cm="1">
        <f t="array" ref="E29">Common_InputFunctions.Utility_DisplayArrayInTable(Fertiliser_SourceData.Fertiliser_ChemicalCompoundElements_Data(),Table_Fertiliser_ChemicalCompounds[[#Headers],[Fertiliser type f]], 0)</f>
        <v>1</v>
      </c>
      <c r="F29" s="187" cm="1">
        <f t="array" ref="F29">Common_InputFunctions.Utility_DisplayArrayInTable(Fertiliser_SourceData.Fertiliser_ChemicalCompoundElements_Data(),Table_Fertiliser_ChemicalCompounds[[#Headers],[Fertiliser type f]], 0)</f>
        <v>0</v>
      </c>
      <c r="G29" s="187" t="str" cm="1">
        <f t="array" ref="G29">Common_InputFunctions.Utility_DisplayArrayInTable(Fertiliser_SourceData.Fertiliser_ChemicalCompoundElements_Data(),Table_Fertiliser_ChemicalCompounds[[#Headers],[Fertiliser type f]], 0)</f>
        <v>Urea-based fertilisers</v>
      </c>
      <c r="H29" s="187" t="str" cm="1">
        <f t="array" ref="H29">Common_InputFunctions.Utility_DisplayArrayInTable(Fertiliser_SourceData.Fertiliser_ChemicalCompoundElements_Data(),Table_Fertiliser_ChemicalCompounds[[#Headers],[Fertiliser type f]], 0)</f>
        <v>Nitrogen from fertiliser</v>
      </c>
      <c r="I29" s="18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HYPERLINK("#'5.1.1.3-4 Inorganic fert CO2'!A1", "5.1.1.3-4 Inorganic fert CO2")</f>
        <v>5.1.1.3-4 Inorganic fert CO2</v>
      </c>
      <c r="D30" s="187" t="str" cm="1">
        <f t="array" ref="D30">Common_InputFunctions.Utility_DisplayArrayInTable(Fertiliser_SourceData.Fertiliser_ChemicalCompoundElements_Data(),Table_Fertiliser_ChemicalCompounds[[#Headers],[Fertiliser type f]], 0)</f>
        <v>Phosphorus - Generic</v>
      </c>
      <c r="E30" s="187" cm="1">
        <f t="array" ref="E30">Common_InputFunctions.Utility_DisplayArrayInTable(Fertiliser_SourceData.Fertiliser_ChemicalCompoundElements_Data(),Table_Fertiliser_ChemicalCompounds[[#Headers],[Fertiliser type f]], 0)</f>
        <v>0</v>
      </c>
      <c r="F30" s="187" cm="1">
        <f t="array" ref="F30">Common_InputFunctions.Utility_DisplayArrayInTable(Fertiliser_SourceData.Fertiliser_ChemicalCompoundElements_Data(),Table_Fertiliser_ChemicalCompounds[[#Headers],[Fertiliser type f]], 0)</f>
        <v>0</v>
      </c>
      <c r="G30" s="187" t="str" cm="1">
        <f t="array" ref="G30">Common_InputFunctions.Utility_DisplayArrayInTable(Fertiliser_SourceData.Fertiliser_ChemicalCompoundElements_Data(),Table_Fertiliser_ChemicalCompounds[[#Headers],[Fertiliser type f]], 0)</f>
        <v>Other fertilisers</v>
      </c>
      <c r="H30" s="187" t="str" cm="1">
        <f t="array" ref="H30">Common_InputFunctions.Utility_DisplayArrayInTable(Fertiliser_SourceData.Fertiliser_ChemicalCompoundElements_Data(),Table_Fertiliser_ChemicalCompounds[[#Headers],[Fertiliser type f]], 0)</f>
        <v>Phosphorus from fertiliser</v>
      </c>
      <c r="I30" s="18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HYPERLINK("#'5.2.1.1-2 Organic Fert N2O'!A1", "5.2.1.1-2 Organic fert N2O")</f>
        <v>5.2.1.1-2 Organic fert N2O</v>
      </c>
      <c r="D31" s="187" t="str" cm="1">
        <f t="array" ref="D31">Common_InputFunctions.Utility_DisplayArrayInTable(Fertiliser_SourceData.Fertiliser_ChemicalCompoundElements_Data(),Table_Fertiliser_ChemicalCompounds[[#Headers],[Fertiliser type f]], 0)</f>
        <v>Potassium - Generic</v>
      </c>
      <c r="E31" s="187" cm="1">
        <f t="array" ref="E31">Common_InputFunctions.Utility_DisplayArrayInTable(Fertiliser_SourceData.Fertiliser_ChemicalCompoundElements_Data(),Table_Fertiliser_ChemicalCompounds[[#Headers],[Fertiliser type f]], 0)</f>
        <v>0</v>
      </c>
      <c r="F31" s="187" cm="1">
        <f t="array" ref="F31">Common_InputFunctions.Utility_DisplayArrayInTable(Fertiliser_SourceData.Fertiliser_ChemicalCompoundElements_Data(),Table_Fertiliser_ChemicalCompounds[[#Headers],[Fertiliser type f]], 0)</f>
        <v>0</v>
      </c>
      <c r="G31" s="187" t="str" cm="1">
        <f t="array" ref="G31">Common_InputFunctions.Utility_DisplayArrayInTable(Fertiliser_SourceData.Fertiliser_ChemicalCompoundElements_Data(),Table_Fertiliser_ChemicalCompounds[[#Headers],[Fertiliser type f]], 0)</f>
        <v>Other fertilisers</v>
      </c>
      <c r="H31" s="187" t="str" cm="1">
        <f t="array" ref="H31">Common_InputFunctions.Utility_DisplayArrayInTable(Fertiliser_SourceData.Fertiliser_ChemicalCompoundElements_Data(),Table_Fertiliser_ChemicalCompounds[[#Headers],[Fertiliser type f]], 0)</f>
        <v>Potassium from fertiliser</v>
      </c>
      <c r="I31" s="18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HYPERLINK("#'5.3.1.1-2 Lime CO2'!A1", "5.3.1.1-2 Lime CO2")</f>
        <v>5.3.1.1-2 Lime CO2</v>
      </c>
      <c r="D32" s="187" t="str" cm="1">
        <f t="array" ref="D32">Common_InputFunctions.Utility_DisplayArrayInTable(Fertiliser_SourceData.Fertiliser_ChemicalCompoundElements_Data(),Table_Fertiliser_ChemicalCompounds[[#Headers],[Fertiliser type f]], 0)</f>
        <v>Sulfur - Generic</v>
      </c>
      <c r="E32" s="187" cm="1">
        <f t="array" ref="E32">Common_InputFunctions.Utility_DisplayArrayInTable(Fertiliser_SourceData.Fertiliser_ChemicalCompoundElements_Data(),Table_Fertiliser_ChemicalCompounds[[#Headers],[Fertiliser type f]], 0)</f>
        <v>0</v>
      </c>
      <c r="F32" s="187" cm="1">
        <f t="array" ref="F32">Common_InputFunctions.Utility_DisplayArrayInTable(Fertiliser_SourceData.Fertiliser_ChemicalCompoundElements_Data(),Table_Fertiliser_ChemicalCompounds[[#Headers],[Fertiliser type f]], 0)</f>
        <v>0</v>
      </c>
      <c r="G32" s="187" t="str" cm="1">
        <f t="array" ref="G32">Common_InputFunctions.Utility_DisplayArrayInTable(Fertiliser_SourceData.Fertiliser_ChemicalCompoundElements_Data(),Table_Fertiliser_ChemicalCompounds[[#Headers],[Fertiliser type f]], 0)</f>
        <v>Other fertilisers</v>
      </c>
      <c r="H32" s="187" t="str" cm="1">
        <f t="array" ref="H32">Common_InputFunctions.Utility_DisplayArrayInTable(Fertiliser_SourceData.Fertiliser_ChemicalCompoundElements_Data(),Table_Fertiliser_ChemicalCompounds[[#Headers],[Fertiliser type f]], 0)</f>
        <v>Sulfur from fertiliser</v>
      </c>
      <c r="I32" s="18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HYPERLINK("#'5.4.1.1-4 Atmos deposition'!A1", "5.4.1.1-4 Atmos. deposition")</f>
        <v>5.4.1.1-4 Atmos. deposition</v>
      </c>
      <c r="D33" s="187" t="str" cm="1">
        <f t="array" ref="D33">Common_InputFunctions.Utility_DisplayArrayInTable(Fertiliser_SourceData.Fertiliser_ChemicalCompoundElements_Data(),Table_Fertiliser_ChemicalCompounds[[#Headers],[Fertiliser type f]], 0)</f>
        <v>Zinc - Generic</v>
      </c>
      <c r="E33" s="187" cm="1">
        <f t="array" ref="E33">Common_InputFunctions.Utility_DisplayArrayInTable(Fertiliser_SourceData.Fertiliser_ChemicalCompoundElements_Data(),Table_Fertiliser_ChemicalCompounds[[#Headers],[Fertiliser type f]], 0)</f>
        <v>0</v>
      </c>
      <c r="F33" s="187" cm="1">
        <f t="array" ref="F33">Common_InputFunctions.Utility_DisplayArrayInTable(Fertiliser_SourceData.Fertiliser_ChemicalCompoundElements_Data(),Table_Fertiliser_ChemicalCompounds[[#Headers],[Fertiliser type f]], 0)</f>
        <v>0</v>
      </c>
      <c r="G33" s="187" t="str" cm="1">
        <f t="array" ref="G33">Common_InputFunctions.Utility_DisplayArrayInTable(Fertiliser_SourceData.Fertiliser_ChemicalCompoundElements_Data(),Table_Fertiliser_ChemicalCompounds[[#Headers],[Fertiliser type f]], 0)</f>
        <v>Other fertilisers</v>
      </c>
      <c r="H33" s="187" t="str" cm="1">
        <f t="array" ref="H33">Common_InputFunctions.Utility_DisplayArrayInTable(Fertiliser_SourceData.Fertiliser_ChemicalCompoundElements_Data(),Table_Fertiliser_ChemicalCompounds[[#Headers],[Fertiliser type f]], 0)</f>
        <v>Zinc from fertiliser</v>
      </c>
      <c r="I33" s="18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HYPERLINK("#'5.5.1.1-2 Leaching and runoff'!A1", "5.5.1.1-2 Leaching &amp; runoff")</f>
        <v>5.5.1.1-2 Leaching &amp; runoff</v>
      </c>
      <c r="D34" s="187" t="str" cm="1">
        <f t="array" ref="D34">Common_InputFunctions.Utility_DisplayArrayInTable(Fertiliser_SourceData.Fertiliser_ChemicalCompoundElements_Data(),Table_Fertiliser_ChemicalCompounds[[#Headers],[Fertiliser type f]], 0)</f>
        <v>Muriate of potash (MOP)</v>
      </c>
      <c r="E34" s="187" cm="1">
        <f t="array" ref="E34">Common_InputFunctions.Utility_DisplayArrayInTable(Fertiliser_SourceData.Fertiliser_ChemicalCompoundElements_Data(),Table_Fertiliser_ChemicalCompounds[[#Headers],[Fertiliser type f]], 0)</f>
        <v>0</v>
      </c>
      <c r="F34" s="187" cm="1">
        <f t="array" ref="F34">Common_InputFunctions.Utility_DisplayArrayInTable(Fertiliser_SourceData.Fertiliser_ChemicalCompoundElements_Data(),Table_Fertiliser_ChemicalCompounds[[#Headers],[Fertiliser type f]], 0)</f>
        <v>0</v>
      </c>
      <c r="G34" s="187" t="str" cm="1">
        <f t="array" ref="G34">Common_InputFunctions.Utility_DisplayArrayInTable(Fertiliser_SourceData.Fertiliser_ChemicalCompoundElements_Data(),Table_Fertiliser_ChemicalCompounds[[#Headers],[Fertiliser type f]], 0)</f>
        <v>Other fertilisers</v>
      </c>
      <c r="H34" s="187" t="str" cm="1">
        <f t="array" ref="H34">Common_InputFunctions.Utility_DisplayArrayInTable(Fertiliser_SourceData.Fertiliser_ChemicalCompoundElements_Data(),Table_Fertiliser_ChemicalCompounds[[#Headers],[Fertiliser type f]], 0)</f>
        <v>Muriate of potash (MOP)</v>
      </c>
      <c r="I34" s="18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HYPERLINK("#'6.2.1.1-2 Pasture residue N2O'!A1", "6.2.1.1-2 Pasture residue N2O")</f>
        <v>6.2.1.1-2 Pasture residue N2O</v>
      </c>
      <c r="D35" s="187" t="str" cm="1">
        <f t="array" ref="D35">Common_InputFunctions.Utility_DisplayArrayInTable(Fertiliser_SourceData.Fertiliser_ChemicalCompoundElements_Data(),Table_Fertiliser_ChemicalCompounds[[#Headers],[Fertiliser type f]], 0)</f>
        <v>Double superphosphate</v>
      </c>
      <c r="E35" s="187" cm="1">
        <f t="array" ref="E35">Common_InputFunctions.Utility_DisplayArrayInTable(Fertiliser_SourceData.Fertiliser_ChemicalCompoundElements_Data(),Table_Fertiliser_ChemicalCompounds[[#Headers],[Fertiliser type f]], 0)</f>
        <v>0</v>
      </c>
      <c r="F35" s="187" cm="1">
        <f t="array" ref="F35">Common_InputFunctions.Utility_DisplayArrayInTable(Fertiliser_SourceData.Fertiliser_ChemicalCompoundElements_Data(),Table_Fertiliser_ChemicalCompounds[[#Headers],[Fertiliser type f]], 0)</f>
        <v>0</v>
      </c>
      <c r="G35" s="187" t="str" cm="1">
        <f t="array" ref="G35">Common_InputFunctions.Utility_DisplayArrayInTable(Fertiliser_SourceData.Fertiliser_ChemicalCompoundElements_Data(),Table_Fertiliser_ChemicalCompounds[[#Headers],[Fertiliser type f]], 0)</f>
        <v>Other fertilisers</v>
      </c>
      <c r="H35" s="187" t="str" cm="1">
        <f t="array" ref="H35">Common_InputFunctions.Utility_DisplayArrayInTable(Fertiliser_SourceData.Fertiliser_ChemicalCompoundElements_Data(),Table_Fertiliser_ChemicalCompounds[[#Headers],[Fertiliser type f]], 0)</f>
        <v>Double superphosphate</v>
      </c>
      <c r="I35" s="18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HYPERLINK("#'6.3.1.1-2 Leach runoff pasture'!A1", "6.3.1.1-2 Leach &amp; runoff (pasture)")</f>
        <v>6.3.1.1-2 Leach &amp; runoff (pasture)</v>
      </c>
      <c r="D36" s="187" t="str" cm="1">
        <f t="array" ref="D36">Common_InputFunctions.Utility_DisplayArrayInTable(Fertiliser_SourceData.Fertiliser_ChemicalCompoundElements_Data(),Table_Fertiliser_ChemicalCompounds[[#Headers],[Fertiliser type f]], 0)</f>
        <v>Single superphosphate (SSP)</v>
      </c>
      <c r="E36" s="187" cm="1">
        <f t="array" ref="E36">Common_InputFunctions.Utility_DisplayArrayInTable(Fertiliser_SourceData.Fertiliser_ChemicalCompoundElements_Data(),Table_Fertiliser_ChemicalCompounds[[#Headers],[Fertiliser type f]], 0)</f>
        <v>0</v>
      </c>
      <c r="F36" s="187" cm="1">
        <f t="array" ref="F36">Common_InputFunctions.Utility_DisplayArrayInTable(Fertiliser_SourceData.Fertiliser_ChemicalCompoundElements_Data(),Table_Fertiliser_ChemicalCompounds[[#Headers],[Fertiliser type f]], 0)</f>
        <v>0</v>
      </c>
      <c r="G36" s="187" t="str" cm="1">
        <f t="array" ref="G36">Common_InputFunctions.Utility_DisplayArrayInTable(Fertiliser_SourceData.Fertiliser_ChemicalCompoundElements_Data(),Table_Fertiliser_ChemicalCompounds[[#Headers],[Fertiliser type f]], 0)</f>
        <v>Other fertilisers</v>
      </c>
      <c r="H36" s="187" t="str" cm="1">
        <f t="array" ref="H36">Common_InputFunctions.Utility_DisplayArrayInTable(Fertiliser_SourceData.Fertiliser_ChemicalCompoundElements_Data(),Table_Fertiliser_ChemicalCompounds[[#Headers],[Fertiliser type f]], 0)</f>
        <v>Single superphosphate (SSP)</v>
      </c>
      <c r="I36" s="18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HYPERLINK("#'8.1.1.1-2 Transport fuel'!A1", "8.1.1.1-2 Transport fuel")</f>
        <v>8.1.1.1-2 Transport fuel</v>
      </c>
      <c r="D37" s="187" t="str" cm="1">
        <f t="array" ref="D37">Common_InputFunctions.Utility_DisplayArrayInTable(Fertiliser_SourceData.Fertiliser_ChemicalCompoundElements_Data(),Table_Fertiliser_ChemicalCompounds[[#Headers],[Fertiliser type f]], 0)</f>
        <v>Ammonia</v>
      </c>
      <c r="E37" s="187" cm="1">
        <f t="array" ref="E37">Common_InputFunctions.Utility_DisplayArrayInTable(Fertiliser_SourceData.Fertiliser_ChemicalCompoundElements_Data(),Table_Fertiliser_ChemicalCompounds[[#Headers],[Fertiliser type f]], 0)</f>
        <v>0.82350000000000001</v>
      </c>
      <c r="F37" s="187" cm="1">
        <f t="array" ref="F37">Common_InputFunctions.Utility_DisplayArrayInTable(Fertiliser_SourceData.Fertiliser_ChemicalCompoundElements_Data(),Table_Fertiliser_ChemicalCompounds[[#Headers],[Fertiliser type f]], 0)</f>
        <v>0</v>
      </c>
      <c r="G37" s="187" t="str" cm="1">
        <f t="array" ref="G37">Common_InputFunctions.Utility_DisplayArrayInTable(Fertiliser_SourceData.Fertiliser_ChemicalCompoundElements_Data(),Table_Fertiliser_ChemicalCompounds[[#Headers],[Fertiliser type f]], 0)</f>
        <v>Ammonium-based fertilisers</v>
      </c>
      <c r="H37" s="187" t="str" cm="1">
        <f t="array" ref="H37">Common_InputFunctions.Utility_DisplayArrayInTable(Fertiliser_SourceData.Fertiliser_ChemicalCompoundElements_Data(),Table_Fertiliser_ChemicalCompounds[[#Headers],[Fertiliser type f]], 0)</f>
        <v>Ammonia</v>
      </c>
      <c r="I37" s="18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HYPERLINK("#'8.2.1.1-2 Stationary fuel'!A1", "8.2.1.1-2 Stationary fuel")</f>
        <v>8.2.1.1-2 Stationary fuel</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HYPERLINK("#'14.1.1-2 Purchased electricity'!A1", "14.1.1-2 Purchased electricity")</f>
        <v>14.1.1-2 Purchased electricity</v>
      </c>
    </row>
    <row r="40" spans="1:10" ht="20.100000000000001" customHeight="1" x14ac:dyDescent="0.25">
      <c r="A40" s="5" t="str">
        <f>HYPERLINK("#'15 Scope 3'!A1", "15 Scope 3")</f>
        <v>15 Scope 3</v>
      </c>
      <c r="D40" s="2" t="s">
        <v>626</v>
      </c>
      <c r="F40" s="2" t="s">
        <v>627</v>
      </c>
      <c r="H40" s="2" t="s">
        <v>303</v>
      </c>
      <c r="J40" s="2" t="s">
        <v>628</v>
      </c>
    </row>
    <row r="41" spans="1:10" ht="20.100000000000001" customHeight="1" x14ac:dyDescent="0.25">
      <c r="A41" s="5" t="str">
        <f>HYPERLINK("#'Calcs - Manure sent off-site'!A1", "Calcs - Manure sent off-site")</f>
        <v>Calcs - Manure sent off-site</v>
      </c>
      <c r="D41" s="30" t="s">
        <v>308</v>
      </c>
      <c r="F41" s="30" t="s">
        <v>308</v>
      </c>
      <c r="H41" s="30" t="s">
        <v>74</v>
      </c>
      <c r="J41" s="30" t="s">
        <v>629</v>
      </c>
    </row>
    <row r="42" spans="1:10" ht="20.100000000000001" customHeight="1" x14ac:dyDescent="0.25">
      <c r="A42" s="5" t="str">
        <f>HYPERLINK("#'10.1.1-2 Solid waste treatment'!A1", "10.1.1-2 Solid waste treatment")</f>
        <v>10.1.1-2 Solid waste treatment</v>
      </c>
      <c r="D42" s="30" t="s">
        <v>237</v>
      </c>
      <c r="F42" s="30" t="s">
        <v>237</v>
      </c>
      <c r="H42" s="30" t="s">
        <v>310</v>
      </c>
      <c r="J42" s="30" t="s">
        <v>630</v>
      </c>
    </row>
    <row r="43" spans="1:10" ht="20.100000000000001" customHeight="1" x14ac:dyDescent="0.25">
      <c r="D43" s="1" t="s">
        <v>466</v>
      </c>
      <c r="F43" s="1" t="s">
        <v>468</v>
      </c>
      <c r="H43" s="30" t="s">
        <v>314</v>
      </c>
      <c r="J43" s="1" t="s">
        <v>534</v>
      </c>
    </row>
    <row r="44" spans="1:10" ht="20.100000000000001" customHeight="1" x14ac:dyDescent="0.25">
      <c r="F44" s="1" t="s">
        <v>631</v>
      </c>
      <c r="H44" s="1" t="s">
        <v>238</v>
      </c>
      <c r="J44" s="1" t="s">
        <v>632</v>
      </c>
    </row>
    <row r="45" spans="1:10" ht="20.100000000000001" customHeight="1" x14ac:dyDescent="0.25">
      <c r="A45" s="94" t="s">
        <v>1</v>
      </c>
      <c r="F45" s="1" t="s">
        <v>633</v>
      </c>
      <c r="H45" s="1" t="s">
        <v>322</v>
      </c>
      <c r="J45" s="1" t="s">
        <v>533</v>
      </c>
    </row>
    <row r="46" spans="1:10" ht="20.100000000000001" customHeight="1" x14ac:dyDescent="0.25">
      <c r="A46" s="5" t="str">
        <f>HYPERLINK("#'Constants - Pasture Beef'!A1", "Constants - Pasture Beef")</f>
        <v>Constants - Pasture Beef</v>
      </c>
      <c r="H46" s="1" t="s">
        <v>324</v>
      </c>
      <c r="J46" s="1" t="s">
        <v>535</v>
      </c>
    </row>
    <row r="47" spans="1:10" ht="20.100000000000001" customHeight="1" x14ac:dyDescent="0.25">
      <c r="A47" s="5" t="str">
        <f>HYPERLINK("#'Constants - Ag Residue'!A1", "Constants - Ag residue")</f>
        <v>Constants - Ag residue</v>
      </c>
    </row>
    <row r="48" spans="1:10" ht="20.100000000000001" customHeight="1" x14ac:dyDescent="0.25">
      <c r="A48" s="5" t="str">
        <f>HYPERLINK("#'Constants - Common Livestock'!A1", "Constants - Common Livestock")</f>
        <v>Constants - Common Livestock</v>
      </c>
      <c r="D48" s="2" t="str" cm="1">
        <f t="array" ref="D48">Fertiliser_SourceData.Fertiliser_FracGASF_Title()</f>
        <v>Fraction of inorganic fertiliser that volatilises as NH3 and NOx</v>
      </c>
      <c r="G48" s="178"/>
    </row>
    <row r="49" spans="1:8" ht="20.100000000000001" customHeight="1" x14ac:dyDescent="0.25">
      <c r="A49" s="5" t="str">
        <f>HYPERLINK("#'Constants - Electricity'!A1", "Constants - Electricity")</f>
        <v>Constants - Electricity</v>
      </c>
      <c r="D49" s="27" t="str" cm="1">
        <f t="array" ref="D49">Fertiliser_SourceData.Fertiliser_FracGASF_Source()</f>
        <v>Table A.2.2.6: Fraction of inorganic fertiliser f that volatilises as NH3 and NOx ((kg NH3-N + NOx-N)/kg N) (FracGASFf)</v>
      </c>
      <c r="G49" s="178"/>
    </row>
    <row r="50" spans="1:8" ht="20.100000000000001" customHeight="1" x14ac:dyDescent="0.25">
      <c r="A50" s="128" t="str">
        <f>HYPERLINK("#'Constants - Fertiliser'!A1", "Constants - Fertiliser")</f>
        <v>Constants - Fertiliser</v>
      </c>
      <c r="D50" s="30" t="s">
        <v>540</v>
      </c>
      <c r="E50" s="30" t="s">
        <v>634</v>
      </c>
      <c r="G50" s="178"/>
    </row>
    <row r="51" spans="1:8" ht="20.100000000000001" customHeight="1" x14ac:dyDescent="0.25">
      <c r="A51" s="5" t="str">
        <f>HYPERLINK("#'Constants - Fuel'!A1", "Constants - Fuel")</f>
        <v>Constants - Fuel</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8"/>
    </row>
    <row r="52" spans="1:8" ht="20.100000000000001" customHeight="1" x14ac:dyDescent="0.25">
      <c r="A52" s="5" t="str">
        <f>HYPERLINK("#'Constants - Scope 3'!A1", "Constants - Scope 3")</f>
        <v>Constants - Scope 3</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8"/>
    </row>
    <row r="53" spans="1:8" ht="20.100000000000001" customHeight="1" x14ac:dyDescent="0.25">
      <c r="A53" s="5" t="str">
        <f>HYPERLINK("#'Constants - Common'!A1", "Constants - Common")</f>
        <v>Constants - Common</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8"/>
    </row>
    <row r="54" spans="1:8" ht="20.100000000000001" customHeight="1" x14ac:dyDescent="0.25">
      <c r="A54" s="5" t="str">
        <f>HYPERLINK("#'Acknowledgements'!A1", "Acknowledgements")</f>
        <v>Acknowledgements</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8"/>
      <c r="H54" s="178"/>
    </row>
    <row r="55" spans="1:8" ht="20.100000000000001" customHeight="1" x14ac:dyDescent="0.25">
      <c r="A55" s="5" t="str">
        <f>HYPERLINK("#'Constants - Solid Waste'!A1", "Constants - Solid Waste")</f>
        <v>Constants - Solid Waste</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8"/>
      <c r="H55" s="178"/>
    </row>
    <row r="56" spans="1:8" ht="20.100000000000001" customHeight="1" x14ac:dyDescent="0.25"/>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8"/>
      <c r="F87" s="178"/>
      <c r="G87" s="178"/>
      <c r="H87" s="178"/>
      <c r="I87" s="178"/>
      <c r="J87" s="178"/>
      <c r="K87" s="178"/>
      <c r="L87" s="178"/>
      <c r="N87" s="178" t="s">
        <v>637</v>
      </c>
      <c r="O87" s="178"/>
      <c r="P87" s="178"/>
      <c r="Q87" s="178"/>
      <c r="R87" s="178"/>
      <c r="S87" s="178"/>
      <c r="T87" s="178"/>
      <c r="U87" s="178"/>
    </row>
    <row r="88" spans="4:31" ht="20.100000000000001" customHeight="1" x14ac:dyDescent="0.25">
      <c r="D88" s="178"/>
    </row>
    <row r="89" spans="4:31" ht="20.100000000000001" customHeight="1" x14ac:dyDescent="0.25">
      <c r="D89" s="188" t="s">
        <v>639</v>
      </c>
      <c r="E89" s="30" t="s">
        <v>640</v>
      </c>
      <c r="F89" s="30" t="s">
        <v>641</v>
      </c>
      <c r="G89" s="143" t="s">
        <v>642</v>
      </c>
      <c r="H89" s="143" t="s">
        <v>132</v>
      </c>
      <c r="I89" s="143" t="s">
        <v>643</v>
      </c>
      <c r="J89" s="143" t="s">
        <v>494</v>
      </c>
      <c r="K89" s="143" t="s">
        <v>495</v>
      </c>
      <c r="L89" s="143" t="s">
        <v>481</v>
      </c>
      <c r="M89" s="143" t="s">
        <v>482</v>
      </c>
      <c r="N89" s="143" t="s">
        <v>483</v>
      </c>
      <c r="O89" s="30" t="s">
        <v>484</v>
      </c>
      <c r="P89" s="30" t="s">
        <v>485</v>
      </c>
      <c r="Q89" s="30" t="s">
        <v>486</v>
      </c>
      <c r="R89" s="143" t="s">
        <v>487</v>
      </c>
      <c r="S89" s="143" t="s">
        <v>488</v>
      </c>
      <c r="T89" s="30" t="s">
        <v>489</v>
      </c>
      <c r="U89" s="143" t="s">
        <v>490</v>
      </c>
      <c r="V89" s="143" t="s">
        <v>491</v>
      </c>
      <c r="W89" s="143" t="s">
        <v>492</v>
      </c>
      <c r="X89" s="143" t="s">
        <v>644</v>
      </c>
      <c r="Y89" s="143" t="s">
        <v>645</v>
      </c>
      <c r="Z89" s="30" t="s">
        <v>646</v>
      </c>
      <c r="AA89" s="30" t="s">
        <v>647</v>
      </c>
      <c r="AB89" s="30" t="s">
        <v>648</v>
      </c>
      <c r="AC89" s="30" t="s">
        <v>649</v>
      </c>
      <c r="AD89" s="30" t="s">
        <v>650</v>
      </c>
      <c r="AE89" s="30" t="s">
        <v>651</v>
      </c>
    </row>
    <row r="90" spans="4:31" ht="20.100000000000001" customHeight="1" x14ac:dyDescent="0.25">
      <c r="D90" s="187" t="str" cm="1">
        <f t="array" ref="D90">Common_InputFunctions.Utility_DisplayArrayInTable(Fertiliser_SourceData.Fertiliser_Products_Data1(),FertiliserProducts[[#Headers],[Include or Exclude]], -1)</f>
        <v>Include</v>
      </c>
      <c r="E90" s="187" t="str" cm="1">
        <f t="array" ref="E90">Common_InputFunctions.Utility_DisplayArrayInTable(Fertiliser_SourceData.Fertiliser_Products_Data1(),FertiliserProducts[[#Headers],[Include or Exclude]], 0)</f>
        <v/>
      </c>
      <c r="F90" s="187" t="str" cm="1">
        <f t="array" ref="F90">Common_InputFunctions.Utility_DisplayArrayInTable(Fertiliser_SourceData.Fertiliser_Products_Data1(),FertiliserProducts[[#Headers],[Include or Exclude]], 0)</f>
        <v>Campbells fertilisers Australia</v>
      </c>
      <c r="G90" s="187" t="str" cm="1">
        <f t="array" ref="G90">Common_InputFunctions.Utility_DisplayArrayInTable(Fertiliser_SourceData.Fertiliser_Products_Data1(),FertiliserProducts[[#Headers],[Include or Exclude]], 0)</f>
        <v>Aqua Finish</v>
      </c>
      <c r="H90" s="187" t="str" cm="1">
        <f t="array" ref="H90">Common_InputFunctions.Utility_DisplayArrayInTable(Fertiliser_SourceData.Fertiliser_Products_Data1(),FertiliserProducts[[#Headers],[Include or Exclude]], 0,4)</f>
        <v>L</v>
      </c>
      <c r="I90" s="187" cm="1">
        <f t="array" ref="I90">Common_InputFunctions.Utility_DisplayArrayInTable(Fertiliser_SourceData.Fertiliser_Products_Data1(),FertiliserProducts[[#Headers],[Include or Exclude]], 0,4)</f>
        <v>1.26</v>
      </c>
      <c r="J90" s="187" t="str" cm="1">
        <f t="array" ref="J90">Common_InputFunctions.Utility_DisplayArrayInTable(Fertiliser_SourceData.Fertiliser_Products_Data1(),FertiliserProducts[[#Headers],[Include or Exclude]], 0,4)</f>
        <v/>
      </c>
      <c r="K90" s="187" t="str" cm="1">
        <f t="array" ref="K90">Common_InputFunctions.Utility_DisplayArrayInTable(Fertiliser_SourceData.Fertiliser_Products_Data1(),FertiliserProducts[[#Headers],[Include or Exclude]], 0,4)</f>
        <v/>
      </c>
      <c r="L90" s="187" t="str" cm="1">
        <f t="array" ref="L90">Common_InputFunctions.Utility_DisplayArrayInTable(Fertiliser_SourceData.Fertiliser_Products_Data1(),FertiliserProducts[[#Headers],[Include or Exclude]], 0,4)</f>
        <v>Potassium - Generic</v>
      </c>
      <c r="M90" s="187" cm="1">
        <f t="array" ref="M90">Common_InputFunctions.Utility_DisplayArrayInTable(Fertiliser_SourceData.Fertiliser_Products_Data1(),FertiliserProducts[[#Headers],[Include or Exclude]], 0,4)</f>
        <v>0.22500000000000001</v>
      </c>
      <c r="N90" s="187" t="str" cm="1">
        <f t="array" ref="N90">Common_InputFunctions.Utility_DisplayArrayInTable(Fertiliser_SourceData.Fertiliser_Products_Data1(),FertiliserProducts[[#Headers],[Include or Exclude]], 0,4)</f>
        <v>Phosphorus - Generic</v>
      </c>
      <c r="O90" s="187" cm="1">
        <f t="array" ref="O90">Common_InputFunctions.Utility_DisplayArrayInTable(Fertiliser_SourceData.Fertiliser_Products_Data1(),FertiliserProducts[[#Headers],[Include or Exclude]], 0,4)</f>
        <v>0.04</v>
      </c>
      <c r="P90" s="187" t="str" cm="1">
        <f t="array" ref="P90">Common_InputFunctions.Utility_DisplayArrayInTable(Fertiliser_SourceData.Fertiliser_Products_Data1(),FertiliserProducts[[#Headers],[Include or Exclude]], 0,4)</f>
        <v>Nitrogen - Generic</v>
      </c>
      <c r="Q90" s="187" cm="1">
        <f t="array" ref="Q90">Common_InputFunctions.Utility_DisplayArrayInTable(Fertiliser_SourceData.Fertiliser_Products_Data1(),FertiliserProducts[[#Headers],[Include or Exclude]], 0,4)</f>
        <v>2.5999999999999999E-2</v>
      </c>
      <c r="R90" s="187" t="str" cm="1">
        <f t="array" ref="R90">Common_InputFunctions.Utility_DisplayArrayInTable(Fertiliser_SourceData.Fertiliser_Products_Data1(),FertiliserProducts[[#Headers],[Include or Exclude]], 0,4)</f>
        <v/>
      </c>
      <c r="S90" s="187" t="str" cm="1">
        <f t="array" ref="S90">Common_InputFunctions.Utility_DisplayArrayInTable(Fertiliser_SourceData.Fertiliser_Products_Data1(),FertiliserProducts[[#Headers],[Include or Exclude]], 0,4)</f>
        <v/>
      </c>
      <c r="T90" s="187" t="str" cm="1">
        <f t="array" ref="T90">Common_InputFunctions.Utility_DisplayArrayInTable(Fertiliser_SourceData.Fertiliser_Products_Data1(),FertiliserProducts[[#Headers],[Include or Exclude]], 0,4)</f>
        <v/>
      </c>
      <c r="U90" s="187" t="str" cm="1">
        <f t="array" ref="U90">Common_InputFunctions.Utility_DisplayArrayInTable(Fertiliser_SourceData.Fertiliser_Products_Data1(),FertiliserProducts[[#Headers],[Include or Exclude]], 0,4)</f>
        <v/>
      </c>
      <c r="V90" s="187" t="str" cm="1">
        <f t="array" ref="V90">Common_InputFunctions.Utility_DisplayArrayInTable(Fertiliser_SourceData.Fertiliser_Products_Data1(),FertiliserProducts[[#Headers],[Include or Exclude]], 0,4)</f>
        <v/>
      </c>
      <c r="W90" s="187" t="str" cm="1">
        <f t="array" ref="W90">Common_InputFunctions.Utility_DisplayArrayInTable(Fertiliser_SourceData.Fertiliser_Products_Data1(),FertiliserProducts[[#Headers],[Include or Exclude]], 0,4)</f>
        <v/>
      </c>
      <c r="X90" s="187" t="str" cm="1">
        <f t="array" ref="X90">Common_InputFunctions.Utility_DisplayArrayInTable(Fertiliser_SourceData.Fertiliser_Products_Data1(),FertiliserProducts[[#Headers],[Include or Exclude]], 0,4)</f>
        <v/>
      </c>
      <c r="Y90" s="187" t="str" cm="1">
        <f t="array" ref="Y90">Common_InputFunctions.Utility_DisplayArrayInTable(Fertiliser_SourceData.Fertiliser_Products_Data1(),FertiliserProducts[[#Headers],[Include or Exclude]], 0,4)</f>
        <v/>
      </c>
      <c r="Z90" s="187" t="str" cm="1">
        <f t="array" ref="Z90">Common_InputFunctions.Utility_DisplayArrayInTable(Fertiliser_SourceData.Fertiliser_Products_Data1(),FertiliserProducts[[#Headers],[Include or Exclude]], 0,4)</f>
        <v/>
      </c>
      <c r="AA90" s="187" t="str" cm="1">
        <f t="array" ref="AA90">Common_InputFunctions.Utility_DisplayArrayInTable(Fertiliser_SourceData.Fertiliser_Products_Data1(),FertiliserProducts[[#Headers],[Include or Exclude]], 0,4)</f>
        <v/>
      </c>
      <c r="AB90" s="187" t="str" cm="1">
        <f t="array" ref="AB90">Common_InputFunctions.Utility_DisplayArrayInTable(Fertiliser_SourceData.Fertiliser_Products_Data1(),FertiliserProducts[[#Headers],[Include or Exclude]], 0,4)</f>
        <v/>
      </c>
      <c r="AC90" s="187" t="str" cm="1">
        <f t="array" ref="AC90">Common_InputFunctions.Utility_DisplayArrayInTable(Fertiliser_SourceData.Fertiliser_Products_Data1(),FertiliserProducts[[#Headers],[Include or Exclude]], 0,4)</f>
        <v/>
      </c>
      <c r="AD90" s="187" t="str" cm="1">
        <f t="array" ref="AD90">Common_InputFunctions.Utility_DisplayArrayInTable(Fertiliser_SourceData.Fertiliser_Products_Data1(),FertiliserProducts[[#Headers],[Include or Exclude]], 0,4)</f>
        <v/>
      </c>
      <c r="AE90" s="187" t="str" cm="1">
        <f t="array" ref="AE90">Common_InputFunctions.Utility_DisplayArrayInTable(Fertiliser_SourceData.Fertiliser_Products_Data1(),FertiliserProducts[[#Headers],[Include or Exclude]], 0,4)</f>
        <v/>
      </c>
    </row>
    <row r="91" spans="4:31" ht="20.100000000000001" customHeight="1" x14ac:dyDescent="0.25">
      <c r="D91" s="187" t="str" cm="1">
        <f t="array" ref="D91">Common_InputFunctions.Utility_DisplayArrayInTable(Fertiliser_SourceData.Fertiliser_Products_Data1(),FertiliserProducts[[#Headers],[Include or Exclude]], -1)</f>
        <v>Include</v>
      </c>
      <c r="E91" s="187" t="str" cm="1">
        <f t="array" ref="E91">Common_InputFunctions.Utility_DisplayArrayInTable(Fertiliser_SourceData.Fertiliser_Products_Data1(),FertiliserProducts[[#Headers],[Include or Exclude]], 0)</f>
        <v/>
      </c>
      <c r="F91" s="187" t="str" cm="1">
        <f t="array" ref="F91">Common_InputFunctions.Utility_DisplayArrayInTable(Fertiliser_SourceData.Fertiliser_Products_Data1(),FertiliserProducts[[#Headers],[Include or Exclude]], 0)</f>
        <v>Campbells fertilisers Australia</v>
      </c>
      <c r="G91" s="187" t="str" cm="1">
        <f t="array" ref="G91">Common_InputFunctions.Utility_DisplayArrayInTable(Fertiliser_SourceData.Fertiliser_Products_Data1(),FertiliserProducts[[#Headers],[Include or Exclude]], 0)</f>
        <v>Aqua Grow</v>
      </c>
      <c r="H91" s="187" t="str" cm="1">
        <f t="array" ref="H91">Common_InputFunctions.Utility_DisplayArrayInTable(Fertiliser_SourceData.Fertiliser_Products_Data1(),FertiliserProducts[[#Headers],[Include or Exclude]], 0,4)</f>
        <v>L</v>
      </c>
      <c r="I91" s="187" cm="1">
        <f t="array" ref="I91">Common_InputFunctions.Utility_DisplayArrayInTable(Fertiliser_SourceData.Fertiliser_Products_Data1(),FertiliserProducts[[#Headers],[Include or Exclude]], 0,4)</f>
        <v>1.26</v>
      </c>
      <c r="J91" s="187" t="str" cm="1">
        <f t="array" ref="J91">Common_InputFunctions.Utility_DisplayArrayInTable(Fertiliser_SourceData.Fertiliser_Products_Data1(),FertiliserProducts[[#Headers],[Include or Exclude]], 0,4)</f>
        <v/>
      </c>
      <c r="K91" s="187" t="str" cm="1">
        <f t="array" ref="K91">Common_InputFunctions.Utility_DisplayArrayInTable(Fertiliser_SourceData.Fertiliser_Products_Data1(),FertiliserProducts[[#Headers],[Include or Exclude]], 0,4)</f>
        <v/>
      </c>
      <c r="L91" s="187" t="str" cm="1">
        <f t="array" ref="L91">Common_InputFunctions.Utility_DisplayArrayInTable(Fertiliser_SourceData.Fertiliser_Products_Data1(),FertiliserProducts[[#Headers],[Include or Exclude]], 0,4)</f>
        <v>Potassium - Generic</v>
      </c>
      <c r="M91" s="187" cm="1">
        <f t="array" ref="M91">Common_InputFunctions.Utility_DisplayArrayInTable(Fertiliser_SourceData.Fertiliser_Products_Data1(),FertiliserProducts[[#Headers],[Include or Exclude]], 0,4)</f>
        <v>0.105</v>
      </c>
      <c r="N91" s="187" t="str" cm="1">
        <f t="array" ref="N91">Common_InputFunctions.Utility_DisplayArrayInTable(Fertiliser_SourceData.Fertiliser_Products_Data1(),FertiliserProducts[[#Headers],[Include or Exclude]], 0,4)</f>
        <v>Nitrogen - Generic</v>
      </c>
      <c r="O91" s="187" cm="1">
        <f t="array" ref="O91">Common_InputFunctions.Utility_DisplayArrayInTable(Fertiliser_SourceData.Fertiliser_Products_Data1(),FertiliserProducts[[#Headers],[Include or Exclude]], 0,4)</f>
        <v>9.6000000000000002E-2</v>
      </c>
      <c r="P91" s="187" t="str" cm="1">
        <f t="array" ref="P91">Common_InputFunctions.Utility_DisplayArrayInTable(Fertiliser_SourceData.Fertiliser_Products_Data1(),FertiliserProducts[[#Headers],[Include or Exclude]], 0,4)</f>
        <v>Phosphorus - Generic</v>
      </c>
      <c r="Q91" s="187" cm="1">
        <f t="array" ref="Q91">Common_InputFunctions.Utility_DisplayArrayInTable(Fertiliser_SourceData.Fertiliser_Products_Data1(),FertiliserProducts[[#Headers],[Include or Exclude]], 0,4)</f>
        <v>0.05</v>
      </c>
      <c r="R91" s="187" t="str" cm="1">
        <f t="array" ref="R91">Common_InputFunctions.Utility_DisplayArrayInTable(Fertiliser_SourceData.Fertiliser_Products_Data1(),FertiliserProducts[[#Headers],[Include or Exclude]], 0,4)</f>
        <v/>
      </c>
      <c r="S91" s="187" t="str" cm="1">
        <f t="array" ref="S91">Common_InputFunctions.Utility_DisplayArrayInTable(Fertiliser_SourceData.Fertiliser_Products_Data1(),FertiliserProducts[[#Headers],[Include or Exclude]], 0,4)</f>
        <v/>
      </c>
      <c r="T91" s="187" t="str" cm="1">
        <f t="array" ref="T91">Common_InputFunctions.Utility_DisplayArrayInTable(Fertiliser_SourceData.Fertiliser_Products_Data1(),FertiliserProducts[[#Headers],[Include or Exclude]], 0,4)</f>
        <v/>
      </c>
      <c r="U91" s="187" t="str" cm="1">
        <f t="array" ref="U91">Common_InputFunctions.Utility_DisplayArrayInTable(Fertiliser_SourceData.Fertiliser_Products_Data1(),FertiliserProducts[[#Headers],[Include or Exclude]], 0,4)</f>
        <v/>
      </c>
      <c r="V91" s="187" t="str" cm="1">
        <f t="array" ref="V91">Common_InputFunctions.Utility_DisplayArrayInTable(Fertiliser_SourceData.Fertiliser_Products_Data1(),FertiliserProducts[[#Headers],[Include or Exclude]], 0,4)</f>
        <v/>
      </c>
      <c r="W91" s="187" t="str" cm="1">
        <f t="array" ref="W91">Common_InputFunctions.Utility_DisplayArrayInTable(Fertiliser_SourceData.Fertiliser_Products_Data1(),FertiliserProducts[[#Headers],[Include or Exclude]], 0,4)</f>
        <v/>
      </c>
      <c r="X91" s="187" t="str" cm="1">
        <f t="array" ref="X91">Common_InputFunctions.Utility_DisplayArrayInTable(Fertiliser_SourceData.Fertiliser_Products_Data1(),FertiliserProducts[[#Headers],[Include or Exclude]], 0,4)</f>
        <v/>
      </c>
      <c r="Y91" s="187" t="str" cm="1">
        <f t="array" ref="Y91">Common_InputFunctions.Utility_DisplayArrayInTable(Fertiliser_SourceData.Fertiliser_Products_Data1(),FertiliserProducts[[#Headers],[Include or Exclude]], 0,4)</f>
        <v/>
      </c>
      <c r="Z91" s="187" t="str" cm="1">
        <f t="array" ref="Z91">Common_InputFunctions.Utility_DisplayArrayInTable(Fertiliser_SourceData.Fertiliser_Products_Data1(),FertiliserProducts[[#Headers],[Include or Exclude]], 0,4)</f>
        <v/>
      </c>
      <c r="AA91" s="187" t="str" cm="1">
        <f t="array" ref="AA91">Common_InputFunctions.Utility_DisplayArrayInTable(Fertiliser_SourceData.Fertiliser_Products_Data1(),FertiliserProducts[[#Headers],[Include or Exclude]], 0,4)</f>
        <v/>
      </c>
      <c r="AB91" s="187" t="str" cm="1">
        <f t="array" ref="AB91">Common_InputFunctions.Utility_DisplayArrayInTable(Fertiliser_SourceData.Fertiliser_Products_Data1(),FertiliserProducts[[#Headers],[Include or Exclude]], 0,4)</f>
        <v/>
      </c>
      <c r="AC91" s="187" t="str" cm="1">
        <f t="array" ref="AC91">Common_InputFunctions.Utility_DisplayArrayInTable(Fertiliser_SourceData.Fertiliser_Products_Data1(),FertiliserProducts[[#Headers],[Include or Exclude]], 0,4)</f>
        <v/>
      </c>
      <c r="AD91" s="187" t="str" cm="1">
        <f t="array" ref="AD91">Common_InputFunctions.Utility_DisplayArrayInTable(Fertiliser_SourceData.Fertiliser_Products_Data1(),FertiliserProducts[[#Headers],[Include or Exclude]], 0,4)</f>
        <v/>
      </c>
      <c r="AE91" s="187" t="str" cm="1">
        <f t="array" ref="AE91">Common_InputFunctions.Utility_DisplayArrayInTable(Fertiliser_SourceData.Fertiliser_Products_Data1(),FertiliserProducts[[#Headers],[Include or Exclude]], 0,4)</f>
        <v/>
      </c>
    </row>
    <row r="92" spans="4:31" ht="20.100000000000001" customHeight="1" x14ac:dyDescent="0.25">
      <c r="D92" s="187" t="str" cm="1">
        <f t="array" ref="D92">Common_InputFunctions.Utility_DisplayArrayInTable(Fertiliser_SourceData.Fertiliser_Products_Data1(),FertiliserProducts[[#Headers],[Include or Exclude]], -1)</f>
        <v>Include</v>
      </c>
      <c r="E92" s="187" t="str" cm="1">
        <f t="array" ref="E92">Common_InputFunctions.Utility_DisplayArrayInTable(Fertiliser_SourceData.Fertiliser_Products_Data1(),FertiliserProducts[[#Headers],[Include or Exclude]], 0)</f>
        <v/>
      </c>
      <c r="F92" s="187" t="str" cm="1">
        <f t="array" ref="F92">Common_InputFunctions.Utility_DisplayArrayInTable(Fertiliser_SourceData.Fertiliser_Products_Data1(),FertiliserProducts[[#Headers],[Include or Exclude]], 0)</f>
        <v>Campbells fertilisers Australia</v>
      </c>
      <c r="G92" s="187" t="str" cm="1">
        <f t="array" ref="G92">Common_InputFunctions.Utility_DisplayArrayInTable(Fertiliser_SourceData.Fertiliser_Products_Data1(),FertiliserProducts[[#Headers],[Include or Exclude]], 0)</f>
        <v>Aqua Nitro AN</v>
      </c>
      <c r="H92" s="187" t="str" cm="1">
        <f t="array" ref="H92">Common_InputFunctions.Utility_DisplayArrayInTable(Fertiliser_SourceData.Fertiliser_Products_Data1(),FertiliserProducts[[#Headers],[Include or Exclude]], 0,4)</f>
        <v>L</v>
      </c>
      <c r="I92" s="187" cm="1">
        <f t="array" ref="I92">Common_InputFunctions.Utility_DisplayArrayInTable(Fertiliser_SourceData.Fertiliser_Products_Data1(),FertiliserProducts[[#Headers],[Include or Exclude]], 0,4)</f>
        <v>1.24</v>
      </c>
      <c r="J92" s="187" t="str" cm="1">
        <f t="array" ref="J92">Common_InputFunctions.Utility_DisplayArrayInTable(Fertiliser_SourceData.Fertiliser_Products_Data1(),FertiliserProducts[[#Headers],[Include or Exclude]], 0,4)</f>
        <v/>
      </c>
      <c r="K92" s="187" t="str" cm="1">
        <f t="array" ref="K92">Common_InputFunctions.Utility_DisplayArrayInTable(Fertiliser_SourceData.Fertiliser_Products_Data1(),FertiliserProducts[[#Headers],[Include or Exclude]], 0,4)</f>
        <v/>
      </c>
      <c r="L92" s="187" t="str" cm="1">
        <f t="array" ref="L92">Common_InputFunctions.Utility_DisplayArrayInTable(Fertiliser_SourceData.Fertiliser_Products_Data1(),FertiliserProducts[[#Headers],[Include or Exclude]], 0,4)</f>
        <v>Nitrogen - Ammoniacal</v>
      </c>
      <c r="M92" s="187" cm="1">
        <f t="array" ref="M92">Common_InputFunctions.Utility_DisplayArrayInTable(Fertiliser_SourceData.Fertiliser_Products_Data1(),FertiliserProducts[[#Headers],[Include or Exclude]], 0,4)</f>
        <v>0.223</v>
      </c>
      <c r="N92" s="187" t="str" cm="1">
        <f t="array" ref="N92">Common_InputFunctions.Utility_DisplayArrayInTable(Fertiliser_SourceData.Fertiliser_Products_Data1(),FertiliserProducts[[#Headers],[Include or Exclude]], 0,4)</f>
        <v/>
      </c>
      <c r="O92" s="187" t="str" cm="1">
        <f t="array" ref="O92">Common_InputFunctions.Utility_DisplayArrayInTable(Fertiliser_SourceData.Fertiliser_Products_Data1(),FertiliserProducts[[#Headers],[Include or Exclude]], 0,4)</f>
        <v/>
      </c>
      <c r="P92" s="187" t="str" cm="1">
        <f t="array" ref="P92">Common_InputFunctions.Utility_DisplayArrayInTable(Fertiliser_SourceData.Fertiliser_Products_Data1(),FertiliserProducts[[#Headers],[Include or Exclude]], 0,4)</f>
        <v/>
      </c>
      <c r="Q92" s="187" t="str" cm="1">
        <f t="array" ref="Q92">Common_InputFunctions.Utility_DisplayArrayInTable(Fertiliser_SourceData.Fertiliser_Products_Data1(),FertiliserProducts[[#Headers],[Include or Exclude]], 0,4)</f>
        <v/>
      </c>
      <c r="R92" s="187" t="str" cm="1">
        <f t="array" ref="R92">Common_InputFunctions.Utility_DisplayArrayInTable(Fertiliser_SourceData.Fertiliser_Products_Data1(),FertiliserProducts[[#Headers],[Include or Exclude]], 0,4)</f>
        <v/>
      </c>
      <c r="S92" s="187" t="str" cm="1">
        <f t="array" ref="S92">Common_InputFunctions.Utility_DisplayArrayInTable(Fertiliser_SourceData.Fertiliser_Products_Data1(),FertiliserProducts[[#Headers],[Include or Exclude]], 0,4)</f>
        <v/>
      </c>
      <c r="T92" s="187" t="str" cm="1">
        <f t="array" ref="T92">Common_InputFunctions.Utility_DisplayArrayInTable(Fertiliser_SourceData.Fertiliser_Products_Data1(),FertiliserProducts[[#Headers],[Include or Exclude]], 0,4)</f>
        <v/>
      </c>
      <c r="U92" s="187" t="str" cm="1">
        <f t="array" ref="U92">Common_InputFunctions.Utility_DisplayArrayInTable(Fertiliser_SourceData.Fertiliser_Products_Data1(),FertiliserProducts[[#Headers],[Include or Exclude]], 0,4)</f>
        <v/>
      </c>
      <c r="V92" s="187" t="str" cm="1">
        <f t="array" ref="V92">Common_InputFunctions.Utility_DisplayArrayInTable(Fertiliser_SourceData.Fertiliser_Products_Data1(),FertiliserProducts[[#Headers],[Include or Exclude]], 0,4)</f>
        <v/>
      </c>
      <c r="W92" s="187" t="str" cm="1">
        <f t="array" ref="W92">Common_InputFunctions.Utility_DisplayArrayInTable(Fertiliser_SourceData.Fertiliser_Products_Data1(),FertiliserProducts[[#Headers],[Include or Exclude]], 0,4)</f>
        <v/>
      </c>
      <c r="X92" s="187" t="str" cm="1">
        <f t="array" ref="X92">Common_InputFunctions.Utility_DisplayArrayInTable(Fertiliser_SourceData.Fertiliser_Products_Data1(),FertiliserProducts[[#Headers],[Include or Exclude]], 0,4)</f>
        <v/>
      </c>
      <c r="Y92" s="187" t="str" cm="1">
        <f t="array" ref="Y92">Common_InputFunctions.Utility_DisplayArrayInTable(Fertiliser_SourceData.Fertiliser_Products_Data1(),FertiliserProducts[[#Headers],[Include or Exclude]], 0,4)</f>
        <v/>
      </c>
      <c r="Z92" s="187" t="str" cm="1">
        <f t="array" ref="Z92">Common_InputFunctions.Utility_DisplayArrayInTable(Fertiliser_SourceData.Fertiliser_Products_Data1(),FertiliserProducts[[#Headers],[Include or Exclude]], 0,4)</f>
        <v/>
      </c>
      <c r="AA92" s="187" t="str" cm="1">
        <f t="array" ref="AA92">Common_InputFunctions.Utility_DisplayArrayInTable(Fertiliser_SourceData.Fertiliser_Products_Data1(),FertiliserProducts[[#Headers],[Include or Exclude]], 0,4)</f>
        <v/>
      </c>
      <c r="AB92" s="187" t="str" cm="1">
        <f t="array" ref="AB92">Common_InputFunctions.Utility_DisplayArrayInTable(Fertiliser_SourceData.Fertiliser_Products_Data1(),FertiliserProducts[[#Headers],[Include or Exclude]], 0,4)</f>
        <v/>
      </c>
      <c r="AC92" s="187" t="str" cm="1">
        <f t="array" ref="AC92">Common_InputFunctions.Utility_DisplayArrayInTable(Fertiliser_SourceData.Fertiliser_Products_Data1(),FertiliserProducts[[#Headers],[Include or Exclude]], 0,4)</f>
        <v/>
      </c>
      <c r="AD92" s="187" t="str" cm="1">
        <f t="array" ref="AD92">Common_InputFunctions.Utility_DisplayArrayInTable(Fertiliser_SourceData.Fertiliser_Products_Data1(),FertiliserProducts[[#Headers],[Include or Exclude]], 0,4)</f>
        <v/>
      </c>
      <c r="AE92" s="187" t="str" cm="1">
        <f t="array" ref="AE92">Common_InputFunctions.Utility_DisplayArrayInTable(Fertiliser_SourceData.Fertiliser_Products_Data1(),FertiliserProducts[[#Headers],[Include or Exclude]], 0,4)</f>
        <v/>
      </c>
    </row>
    <row r="93" spans="4:31" ht="20.100000000000001" customHeight="1" x14ac:dyDescent="0.25">
      <c r="D93" s="187" t="str" cm="1">
        <f t="array" ref="D93">Common_InputFunctions.Utility_DisplayArrayInTable(Fertiliser_SourceData.Fertiliser_Products_Data1(),FertiliserProducts[[#Headers],[Include or Exclude]], -1)</f>
        <v>Include</v>
      </c>
      <c r="E93" s="187" t="str" cm="1">
        <f t="array" ref="E93">Common_InputFunctions.Utility_DisplayArrayInTable(Fertiliser_SourceData.Fertiliser_Products_Data1(),FertiliserProducts[[#Headers],[Include or Exclude]], 0)</f>
        <v>Use Lime EF for calcium</v>
      </c>
      <c r="F93" s="187" t="str" cm="1">
        <f t="array" ref="F93">Common_InputFunctions.Utility_DisplayArrayInTable(Fertiliser_SourceData.Fertiliser_Products_Data1(),FertiliserProducts[[#Headers],[Include or Exclude]], 0)</f>
        <v>Campbells fertilisers Australia</v>
      </c>
      <c r="G93" s="187" t="str" cm="1">
        <f t="array" ref="G93">Common_InputFunctions.Utility_DisplayArrayInTable(Fertiliser_SourceData.Fertiliser_Products_Data1(),FertiliserProducts[[#Headers],[Include or Exclude]], 0)</f>
        <v>Aqua NitroCal</v>
      </c>
      <c r="H93" s="187" t="str" cm="1">
        <f t="array" ref="H93">Common_InputFunctions.Utility_DisplayArrayInTable(Fertiliser_SourceData.Fertiliser_Products_Data1(),FertiliserProducts[[#Headers],[Include or Exclude]], 0,4)</f>
        <v>L</v>
      </c>
      <c r="I93" s="187" cm="1">
        <f t="array" ref="I93">Common_InputFunctions.Utility_DisplayArrayInTable(Fertiliser_SourceData.Fertiliser_Products_Data1(),FertiliserProducts[[#Headers],[Include or Exclude]], 0,4)</f>
        <v>1.5</v>
      </c>
      <c r="J93" s="187" t="str" cm="1">
        <f t="array" ref="J93">Common_InputFunctions.Utility_DisplayArrayInTable(Fertiliser_SourceData.Fertiliser_Products_Data1(),FertiliserProducts[[#Headers],[Include or Exclude]], 0,4)</f>
        <v/>
      </c>
      <c r="K93" s="187" t="str" cm="1">
        <f t="array" ref="K93">Common_InputFunctions.Utility_DisplayArrayInTable(Fertiliser_SourceData.Fertiliser_Products_Data1(),FertiliserProducts[[#Headers],[Include or Exclude]], 0,4)</f>
        <v/>
      </c>
      <c r="L93" s="187" t="str" cm="1">
        <f t="array" ref="L93">Common_InputFunctions.Utility_DisplayArrayInTable(Fertiliser_SourceData.Fertiliser_Products_Data1(),FertiliserProducts[[#Headers],[Include or Exclude]], 0,4)</f>
        <v>Calcium - Generic</v>
      </c>
      <c r="M93" s="187" cm="1">
        <f t="array" ref="M93">Common_InputFunctions.Utility_DisplayArrayInTable(Fertiliser_SourceData.Fertiliser_Products_Data1(),FertiliserProducts[[#Headers],[Include or Exclude]], 0,4)</f>
        <v>0.16200000000000001</v>
      </c>
      <c r="N93" s="187" t="str" cm="1">
        <f t="array" ref="N93">Common_InputFunctions.Utility_DisplayArrayInTable(Fertiliser_SourceData.Fertiliser_Products_Data1(),FertiliserProducts[[#Headers],[Include or Exclude]], 0,4)</f>
        <v>Nitrogen - Nitrate</v>
      </c>
      <c r="O93" s="187" cm="1">
        <f t="array" ref="O93">Common_InputFunctions.Utility_DisplayArrayInTable(Fertiliser_SourceData.Fertiliser_Products_Data1(),FertiliserProducts[[#Headers],[Include or Exclude]], 0,4)</f>
        <v>0.13200000000000001</v>
      </c>
      <c r="P93" s="187" t="str" cm="1">
        <f t="array" ref="P93">Common_InputFunctions.Utility_DisplayArrayInTable(Fertiliser_SourceData.Fertiliser_Products_Data1(),FertiliserProducts[[#Headers],[Include or Exclude]], 0,4)</f>
        <v/>
      </c>
      <c r="Q93" s="187" t="str" cm="1">
        <f t="array" ref="Q93">Common_InputFunctions.Utility_DisplayArrayInTable(Fertiliser_SourceData.Fertiliser_Products_Data1(),FertiliserProducts[[#Headers],[Include or Exclude]], 0,4)</f>
        <v/>
      </c>
      <c r="R93" s="187" t="str" cm="1">
        <f t="array" ref="R93">Common_InputFunctions.Utility_DisplayArrayInTable(Fertiliser_SourceData.Fertiliser_Products_Data1(),FertiliserProducts[[#Headers],[Include or Exclude]], 0,4)</f>
        <v/>
      </c>
      <c r="S93" s="187" t="str" cm="1">
        <f t="array" ref="S93">Common_InputFunctions.Utility_DisplayArrayInTable(Fertiliser_SourceData.Fertiliser_Products_Data1(),FertiliserProducts[[#Headers],[Include or Exclude]], 0,4)</f>
        <v/>
      </c>
      <c r="T93" s="187" t="str" cm="1">
        <f t="array" ref="T93">Common_InputFunctions.Utility_DisplayArrayInTable(Fertiliser_SourceData.Fertiliser_Products_Data1(),FertiliserProducts[[#Headers],[Include or Exclude]], 0,4)</f>
        <v/>
      </c>
      <c r="U93" s="187" t="str" cm="1">
        <f t="array" ref="U93">Common_InputFunctions.Utility_DisplayArrayInTable(Fertiliser_SourceData.Fertiliser_Products_Data1(),FertiliserProducts[[#Headers],[Include or Exclude]], 0,4)</f>
        <v/>
      </c>
      <c r="V93" s="187" t="str" cm="1">
        <f t="array" ref="V93">Common_InputFunctions.Utility_DisplayArrayInTable(Fertiliser_SourceData.Fertiliser_Products_Data1(),FertiliserProducts[[#Headers],[Include or Exclude]], 0,4)</f>
        <v/>
      </c>
      <c r="W93" s="187" t="str" cm="1">
        <f t="array" ref="W93">Common_InputFunctions.Utility_DisplayArrayInTable(Fertiliser_SourceData.Fertiliser_Products_Data1(),FertiliserProducts[[#Headers],[Include or Exclude]], 0,4)</f>
        <v/>
      </c>
      <c r="X93" s="187" t="str" cm="1">
        <f t="array" ref="X93">Common_InputFunctions.Utility_DisplayArrayInTable(Fertiliser_SourceData.Fertiliser_Products_Data1(),FertiliserProducts[[#Headers],[Include or Exclude]], 0,4)</f>
        <v/>
      </c>
      <c r="Y93" s="187" t="str" cm="1">
        <f t="array" ref="Y93">Common_InputFunctions.Utility_DisplayArrayInTable(Fertiliser_SourceData.Fertiliser_Products_Data1(),FertiliserProducts[[#Headers],[Include or Exclude]], 0,4)</f>
        <v/>
      </c>
      <c r="Z93" s="187" t="str" cm="1">
        <f t="array" ref="Z93">Common_InputFunctions.Utility_DisplayArrayInTable(Fertiliser_SourceData.Fertiliser_Products_Data1(),FertiliserProducts[[#Headers],[Include or Exclude]], 0,4)</f>
        <v/>
      </c>
      <c r="AA93" s="187" t="str" cm="1">
        <f t="array" ref="AA93">Common_InputFunctions.Utility_DisplayArrayInTable(Fertiliser_SourceData.Fertiliser_Products_Data1(),FertiliserProducts[[#Headers],[Include or Exclude]], 0,4)</f>
        <v/>
      </c>
      <c r="AB93" s="187" t="str" cm="1">
        <f t="array" ref="AB93">Common_InputFunctions.Utility_DisplayArrayInTable(Fertiliser_SourceData.Fertiliser_Products_Data1(),FertiliserProducts[[#Headers],[Include or Exclude]], 0,4)</f>
        <v/>
      </c>
      <c r="AC93" s="187" t="str" cm="1">
        <f t="array" ref="AC93">Common_InputFunctions.Utility_DisplayArrayInTable(Fertiliser_SourceData.Fertiliser_Products_Data1(),FertiliserProducts[[#Headers],[Include or Exclude]], 0,4)</f>
        <v/>
      </c>
      <c r="AD93" s="187" t="str" cm="1">
        <f t="array" ref="AD93">Common_InputFunctions.Utility_DisplayArrayInTable(Fertiliser_SourceData.Fertiliser_Products_Data1(),FertiliserProducts[[#Headers],[Include or Exclude]], 0,4)</f>
        <v/>
      </c>
      <c r="AE93" s="187" t="str" cm="1">
        <f t="array" ref="AE93">Common_InputFunctions.Utility_DisplayArrayInTable(Fertiliser_SourceData.Fertiliser_Products_Data1(),FertiliserProducts[[#Headers],[Include or Exclude]], 0,4)</f>
        <v/>
      </c>
    </row>
    <row r="94" spans="4:31" ht="20.100000000000001" customHeight="1" x14ac:dyDescent="0.25">
      <c r="D94" s="187" t="str" cm="1">
        <f t="array" ref="D94">Common_InputFunctions.Utility_DisplayArrayInTable(Fertiliser_SourceData.Fertiliser_Products_Data1(),FertiliserProducts[[#Headers],[Include or Exclude]], -1)</f>
        <v>Include</v>
      </c>
      <c r="E94" s="187" t="str" cm="1">
        <f t="array" ref="E94">Common_InputFunctions.Utility_DisplayArrayInTable(Fertiliser_SourceData.Fertiliser_Products_Data1(),FertiliserProducts[[#Headers],[Include or Exclude]], 0)</f>
        <v>Use Lime EF for calcium</v>
      </c>
      <c r="F94" s="187" t="str" cm="1">
        <f t="array" ref="F94">Common_InputFunctions.Utility_DisplayArrayInTable(Fertiliser_SourceData.Fertiliser_Products_Data1(),FertiliserProducts[[#Headers],[Include or Exclude]], 0)</f>
        <v>Campbells fertilisers Australia</v>
      </c>
      <c r="G94" s="187" t="str" cm="1">
        <f t="array" ref="G94">Common_InputFunctions.Utility_DisplayArrayInTable(Fertiliser_SourceData.Fertiliser_Products_Data1(),FertiliserProducts[[#Headers],[Include or Exclude]], 0)</f>
        <v>Aqua NitroCal (VI)</v>
      </c>
      <c r="H94" s="187" t="str" cm="1">
        <f t="array" ref="H94">Common_InputFunctions.Utility_DisplayArrayInTable(Fertiliser_SourceData.Fertiliser_Products_Data1(),FertiliserProducts[[#Headers],[Include or Exclude]], 0,4)</f>
        <v>L</v>
      </c>
      <c r="I94" s="187" cm="1">
        <f t="array" ref="I94">Common_InputFunctions.Utility_DisplayArrayInTable(Fertiliser_SourceData.Fertiliser_Products_Data1(),FertiliserProducts[[#Headers],[Include or Exclude]], 0,4)</f>
        <v>1.5</v>
      </c>
      <c r="J94" s="187" t="str" cm="1">
        <f t="array" ref="J94">Common_InputFunctions.Utility_DisplayArrayInTable(Fertiliser_SourceData.Fertiliser_Products_Data1(),FertiliserProducts[[#Headers],[Include or Exclude]], 0,4)</f>
        <v/>
      </c>
      <c r="K94" s="187" t="str" cm="1">
        <f t="array" ref="K94">Common_InputFunctions.Utility_DisplayArrayInTable(Fertiliser_SourceData.Fertiliser_Products_Data1(),FertiliserProducts[[#Headers],[Include or Exclude]], 0,4)</f>
        <v/>
      </c>
      <c r="L94" s="187" t="str" cm="1">
        <f t="array" ref="L94">Common_InputFunctions.Utility_DisplayArrayInTable(Fertiliser_SourceData.Fertiliser_Products_Data1(),FertiliserProducts[[#Headers],[Include or Exclude]], 0,4)</f>
        <v>Calcium - Generic</v>
      </c>
      <c r="M94" s="187" cm="1">
        <f t="array" ref="M94">Common_InputFunctions.Utility_DisplayArrayInTable(Fertiliser_SourceData.Fertiliser_Products_Data1(),FertiliserProducts[[#Headers],[Include or Exclude]], 0,4)</f>
        <v>0.187</v>
      </c>
      <c r="N94" s="187" t="str" cm="1">
        <f t="array" ref="N94">Common_InputFunctions.Utility_DisplayArrayInTable(Fertiliser_SourceData.Fertiliser_Products_Data1(),FertiliserProducts[[#Headers],[Include or Exclude]], 0,4)</f>
        <v>Nitrogen - Nitrate</v>
      </c>
      <c r="O94" s="187" cm="1">
        <f t="array" ref="O94">Common_InputFunctions.Utility_DisplayArrayInTable(Fertiliser_SourceData.Fertiliser_Products_Data1(),FertiliserProducts[[#Headers],[Include or Exclude]], 0,4)</f>
        <v>0.13200000000000001</v>
      </c>
      <c r="P94" s="187" t="str" cm="1">
        <f t="array" ref="P94">Common_InputFunctions.Utility_DisplayArrayInTable(Fertiliser_SourceData.Fertiliser_Products_Data1(),FertiliserProducts[[#Headers],[Include or Exclude]], 0,4)</f>
        <v/>
      </c>
      <c r="Q94" s="187" t="str" cm="1">
        <f t="array" ref="Q94">Common_InputFunctions.Utility_DisplayArrayInTable(Fertiliser_SourceData.Fertiliser_Products_Data1(),FertiliserProducts[[#Headers],[Include or Exclude]], 0,4)</f>
        <v/>
      </c>
      <c r="R94" s="187" t="str" cm="1">
        <f t="array" ref="R94">Common_InputFunctions.Utility_DisplayArrayInTable(Fertiliser_SourceData.Fertiliser_Products_Data1(),FertiliserProducts[[#Headers],[Include or Exclude]], 0,4)</f>
        <v/>
      </c>
      <c r="S94" s="187" t="str" cm="1">
        <f t="array" ref="S94">Common_InputFunctions.Utility_DisplayArrayInTable(Fertiliser_SourceData.Fertiliser_Products_Data1(),FertiliserProducts[[#Headers],[Include or Exclude]], 0,4)</f>
        <v/>
      </c>
      <c r="T94" s="187" t="str" cm="1">
        <f t="array" ref="T94">Common_InputFunctions.Utility_DisplayArrayInTable(Fertiliser_SourceData.Fertiliser_Products_Data1(),FertiliserProducts[[#Headers],[Include or Exclude]], 0,4)</f>
        <v/>
      </c>
      <c r="U94" s="187" t="str" cm="1">
        <f t="array" ref="U94">Common_InputFunctions.Utility_DisplayArrayInTable(Fertiliser_SourceData.Fertiliser_Products_Data1(),FertiliserProducts[[#Headers],[Include or Exclude]], 0,4)</f>
        <v/>
      </c>
      <c r="V94" s="187" t="str" cm="1">
        <f t="array" ref="V94">Common_InputFunctions.Utility_DisplayArrayInTable(Fertiliser_SourceData.Fertiliser_Products_Data1(),FertiliserProducts[[#Headers],[Include or Exclude]], 0,4)</f>
        <v/>
      </c>
      <c r="W94" s="187" t="str" cm="1">
        <f t="array" ref="W94">Common_InputFunctions.Utility_DisplayArrayInTable(Fertiliser_SourceData.Fertiliser_Products_Data1(),FertiliserProducts[[#Headers],[Include or Exclude]], 0,4)</f>
        <v/>
      </c>
      <c r="X94" s="187" t="str" cm="1">
        <f t="array" ref="X94">Common_InputFunctions.Utility_DisplayArrayInTable(Fertiliser_SourceData.Fertiliser_Products_Data1(),FertiliserProducts[[#Headers],[Include or Exclude]], 0,4)</f>
        <v/>
      </c>
      <c r="Y94" s="187" t="str" cm="1">
        <f t="array" ref="Y94">Common_InputFunctions.Utility_DisplayArrayInTable(Fertiliser_SourceData.Fertiliser_Products_Data1(),FertiliserProducts[[#Headers],[Include or Exclude]], 0,4)</f>
        <v/>
      </c>
      <c r="Z94" s="187" t="str" cm="1">
        <f t="array" ref="Z94">Common_InputFunctions.Utility_DisplayArrayInTable(Fertiliser_SourceData.Fertiliser_Products_Data1(),FertiliserProducts[[#Headers],[Include or Exclude]], 0,4)</f>
        <v/>
      </c>
      <c r="AA94" s="187" t="str" cm="1">
        <f t="array" ref="AA94">Common_InputFunctions.Utility_DisplayArrayInTable(Fertiliser_SourceData.Fertiliser_Products_Data1(),FertiliserProducts[[#Headers],[Include or Exclude]], 0,4)</f>
        <v/>
      </c>
      <c r="AB94" s="187" t="str" cm="1">
        <f t="array" ref="AB94">Common_InputFunctions.Utility_DisplayArrayInTable(Fertiliser_SourceData.Fertiliser_Products_Data1(),FertiliserProducts[[#Headers],[Include or Exclude]], 0,4)</f>
        <v/>
      </c>
      <c r="AC94" s="187" t="str" cm="1">
        <f t="array" ref="AC94">Common_InputFunctions.Utility_DisplayArrayInTable(Fertiliser_SourceData.Fertiliser_Products_Data1(),FertiliserProducts[[#Headers],[Include or Exclude]], 0,4)</f>
        <v/>
      </c>
      <c r="AD94" s="187" t="str" cm="1">
        <f t="array" ref="AD94">Common_InputFunctions.Utility_DisplayArrayInTable(Fertiliser_SourceData.Fertiliser_Products_Data1(),FertiliserProducts[[#Headers],[Include or Exclude]], 0,4)</f>
        <v/>
      </c>
      <c r="AE94" s="187" t="str" cm="1">
        <f t="array" ref="AE94">Common_InputFunctions.Utility_DisplayArrayInTable(Fertiliser_SourceData.Fertiliser_Products_Data1(),FertiliserProducts[[#Headers],[Include or Exclude]], 0,4)</f>
        <v/>
      </c>
    </row>
    <row r="95" spans="4:31" ht="20.100000000000001" customHeight="1" x14ac:dyDescent="0.25">
      <c r="D95" s="187" t="str" cm="1">
        <f t="array" ref="D95">Common_InputFunctions.Utility_DisplayArrayInTable(Fertiliser_SourceData.Fertiliser_Products_Data1(),FertiliserProducts[[#Headers],[Include or Exclude]], -1)</f>
        <v>Include</v>
      </c>
      <c r="E95" s="187" t="str" cm="1">
        <f t="array" ref="E95">Common_InputFunctions.Utility_DisplayArrayInTable(Fertiliser_SourceData.Fertiliser_Products_Data1(),FertiliserProducts[[#Headers],[Include or Exclude]], 0)</f>
        <v>Use Lime EF for calcium</v>
      </c>
      <c r="F95" s="187" t="str" cm="1">
        <f t="array" ref="F95">Common_InputFunctions.Utility_DisplayArrayInTable(Fertiliser_SourceData.Fertiliser_Products_Data1(),FertiliserProducts[[#Headers],[Include or Exclude]], 0)</f>
        <v>Campbells fertilisers Australia</v>
      </c>
      <c r="G95" s="187" t="str" cm="1">
        <f t="array" ref="G95">Common_InputFunctions.Utility_DisplayArrayInTable(Fertiliser_SourceData.Fertiliser_Products_Data1(),FertiliserProducts[[#Headers],[Include or Exclude]], 0)</f>
        <v>Aqua NitroCal Ultimate</v>
      </c>
      <c r="H95" s="187" t="str" cm="1">
        <f t="array" ref="H95">Common_InputFunctions.Utility_DisplayArrayInTable(Fertiliser_SourceData.Fertiliser_Products_Data1(),FertiliserProducts[[#Headers],[Include or Exclude]], 0,4)</f>
        <v>L</v>
      </c>
      <c r="I95" s="187" cm="1">
        <f t="array" ref="I95">Common_InputFunctions.Utility_DisplayArrayInTable(Fertiliser_SourceData.Fertiliser_Products_Data1(),FertiliserProducts[[#Headers],[Include or Exclude]], 0,4)</f>
        <v>1.5</v>
      </c>
      <c r="J95" s="187" t="str" cm="1">
        <f t="array" ref="J95">Common_InputFunctions.Utility_DisplayArrayInTable(Fertiliser_SourceData.Fertiliser_Products_Data1(),FertiliserProducts[[#Headers],[Include or Exclude]], 0,4)</f>
        <v/>
      </c>
      <c r="K95" s="187" t="str" cm="1">
        <f t="array" ref="K95">Common_InputFunctions.Utility_DisplayArrayInTable(Fertiliser_SourceData.Fertiliser_Products_Data1(),FertiliserProducts[[#Headers],[Include or Exclude]], 0,4)</f>
        <v/>
      </c>
      <c r="L95" s="187" t="str" cm="1">
        <f t="array" ref="L95">Common_InputFunctions.Utility_DisplayArrayInTable(Fertiliser_SourceData.Fertiliser_Products_Data1(),FertiliserProducts[[#Headers],[Include or Exclude]], 0,4)</f>
        <v>Calcium - Generic</v>
      </c>
      <c r="M95" s="187" cm="1">
        <f t="array" ref="M95">Common_InputFunctions.Utility_DisplayArrayInTable(Fertiliser_SourceData.Fertiliser_Products_Data1(),FertiliserProducts[[#Headers],[Include or Exclude]], 0,4)</f>
        <v>0.183</v>
      </c>
      <c r="N95" s="187" t="str" cm="1">
        <f t="array" ref="N95">Common_InputFunctions.Utility_DisplayArrayInTable(Fertiliser_SourceData.Fertiliser_Products_Data1(),FertiliserProducts[[#Headers],[Include or Exclude]], 0,4)</f>
        <v>Nitrogen  - Nitrate</v>
      </c>
      <c r="O95" s="187" cm="1">
        <f t="array" ref="O95">Common_InputFunctions.Utility_DisplayArrayInTable(Fertiliser_SourceData.Fertiliser_Products_Data1(),FertiliserProducts[[#Headers],[Include or Exclude]], 0,4)</f>
        <v>0.13200000000000001</v>
      </c>
      <c r="P95" s="187" t="str" cm="1">
        <f t="array" ref="P95">Common_InputFunctions.Utility_DisplayArrayInTable(Fertiliser_SourceData.Fertiliser_Products_Data1(),FertiliserProducts[[#Headers],[Include or Exclude]], 0,4)</f>
        <v/>
      </c>
      <c r="Q95" s="187" t="str" cm="1">
        <f t="array" ref="Q95">Common_InputFunctions.Utility_DisplayArrayInTable(Fertiliser_SourceData.Fertiliser_Products_Data1(),FertiliserProducts[[#Headers],[Include or Exclude]], 0,4)</f>
        <v/>
      </c>
      <c r="R95" s="187" t="str" cm="1">
        <f t="array" ref="R95">Common_InputFunctions.Utility_DisplayArrayInTable(Fertiliser_SourceData.Fertiliser_Products_Data1(),FertiliserProducts[[#Headers],[Include or Exclude]], 0,4)</f>
        <v/>
      </c>
      <c r="S95" s="187" t="str" cm="1">
        <f t="array" ref="S95">Common_InputFunctions.Utility_DisplayArrayInTable(Fertiliser_SourceData.Fertiliser_Products_Data1(),FertiliserProducts[[#Headers],[Include or Exclude]], 0,4)</f>
        <v/>
      </c>
      <c r="T95" s="187" t="str" cm="1">
        <f t="array" ref="T95">Common_InputFunctions.Utility_DisplayArrayInTable(Fertiliser_SourceData.Fertiliser_Products_Data1(),FertiliserProducts[[#Headers],[Include or Exclude]], 0,4)</f>
        <v/>
      </c>
      <c r="U95" s="187" t="str" cm="1">
        <f t="array" ref="U95">Common_InputFunctions.Utility_DisplayArrayInTable(Fertiliser_SourceData.Fertiliser_Products_Data1(),FertiliserProducts[[#Headers],[Include or Exclude]], 0,4)</f>
        <v/>
      </c>
      <c r="V95" s="187" t="str" cm="1">
        <f t="array" ref="V95">Common_InputFunctions.Utility_DisplayArrayInTable(Fertiliser_SourceData.Fertiliser_Products_Data1(),FertiliserProducts[[#Headers],[Include or Exclude]], 0,4)</f>
        <v/>
      </c>
      <c r="W95" s="187" t="str" cm="1">
        <f t="array" ref="W95">Common_InputFunctions.Utility_DisplayArrayInTable(Fertiliser_SourceData.Fertiliser_Products_Data1(),FertiliserProducts[[#Headers],[Include or Exclude]], 0,4)</f>
        <v/>
      </c>
      <c r="X95" s="187" t="str" cm="1">
        <f t="array" ref="X95">Common_InputFunctions.Utility_DisplayArrayInTable(Fertiliser_SourceData.Fertiliser_Products_Data1(),FertiliserProducts[[#Headers],[Include or Exclude]], 0,4)</f>
        <v/>
      </c>
      <c r="Y95" s="187" t="str" cm="1">
        <f t="array" ref="Y95">Common_InputFunctions.Utility_DisplayArrayInTable(Fertiliser_SourceData.Fertiliser_Products_Data1(),FertiliserProducts[[#Headers],[Include or Exclude]], 0,4)</f>
        <v/>
      </c>
      <c r="Z95" s="187" t="str" cm="1">
        <f t="array" ref="Z95">Common_InputFunctions.Utility_DisplayArrayInTable(Fertiliser_SourceData.Fertiliser_Products_Data1(),FertiliserProducts[[#Headers],[Include or Exclude]], 0,4)</f>
        <v/>
      </c>
      <c r="AA95" s="187" t="str" cm="1">
        <f t="array" ref="AA95">Common_InputFunctions.Utility_DisplayArrayInTable(Fertiliser_SourceData.Fertiliser_Products_Data1(),FertiliserProducts[[#Headers],[Include or Exclude]], 0,4)</f>
        <v/>
      </c>
      <c r="AB95" s="187" t="str" cm="1">
        <f t="array" ref="AB95">Common_InputFunctions.Utility_DisplayArrayInTable(Fertiliser_SourceData.Fertiliser_Products_Data1(),FertiliserProducts[[#Headers],[Include or Exclude]], 0,4)</f>
        <v/>
      </c>
      <c r="AC95" s="187" t="str" cm="1">
        <f t="array" ref="AC95">Common_InputFunctions.Utility_DisplayArrayInTable(Fertiliser_SourceData.Fertiliser_Products_Data1(),FertiliserProducts[[#Headers],[Include or Exclude]], 0,4)</f>
        <v/>
      </c>
      <c r="AD95" s="187" t="str" cm="1">
        <f t="array" ref="AD95">Common_InputFunctions.Utility_DisplayArrayInTable(Fertiliser_SourceData.Fertiliser_Products_Data1(),FertiliserProducts[[#Headers],[Include or Exclude]], 0,4)</f>
        <v/>
      </c>
      <c r="AE95" s="187" t="str" cm="1">
        <f t="array" ref="AE95">Common_InputFunctions.Utility_DisplayArrayInTable(Fertiliser_SourceData.Fertiliser_Products_Data1(),FertiliserProducts[[#Headers],[Include or Exclude]], 0,4)</f>
        <v/>
      </c>
    </row>
    <row r="96" spans="4:31" ht="20.100000000000001" customHeight="1" x14ac:dyDescent="0.25">
      <c r="D96" s="187" t="str" cm="1">
        <f t="array" ref="D96">Common_InputFunctions.Utility_DisplayArrayInTable(Fertiliser_SourceData.Fertiliser_Products_Data1(),FertiliserProducts[[#Headers],[Include or Exclude]], -1)</f>
        <v>Include</v>
      </c>
      <c r="E96" s="187" t="str" cm="1">
        <f t="array" ref="E96">Common_InputFunctions.Utility_DisplayArrayInTable(Fertiliser_SourceData.Fertiliser_Products_Data1(),FertiliserProducts[[#Headers],[Include or Exclude]], 0)</f>
        <v/>
      </c>
      <c r="F96" s="187" t="str" cm="1">
        <f t="array" ref="F96">Common_InputFunctions.Utility_DisplayArrayInTable(Fertiliser_SourceData.Fertiliser_Products_Data1(),FertiliserProducts[[#Headers],[Include or Exclude]], 0)</f>
        <v>Campbells fertilisers Australia</v>
      </c>
      <c r="G96" s="187" t="str" cm="1">
        <f t="array" ref="G96">Common_InputFunctions.Utility_DisplayArrayInTable(Fertiliser_SourceData.Fertiliser_Products_Data1(),FertiliserProducts[[#Headers],[Include or Exclude]], 0)</f>
        <v>Aqua Start</v>
      </c>
      <c r="H96" s="187" t="str" cm="1">
        <f t="array" ref="H96">Common_InputFunctions.Utility_DisplayArrayInTable(Fertiliser_SourceData.Fertiliser_Products_Data1(),FertiliserProducts[[#Headers],[Include or Exclude]], 0,4)</f>
        <v>L</v>
      </c>
      <c r="I96" s="187" cm="1">
        <f t="array" ref="I96">Common_InputFunctions.Utility_DisplayArrayInTable(Fertiliser_SourceData.Fertiliser_Products_Data1(),FertiliserProducts[[#Headers],[Include or Exclude]], 0,4)</f>
        <v>1.25</v>
      </c>
      <c r="J96" s="187" t="str" cm="1">
        <f t="array" ref="J96">Common_InputFunctions.Utility_DisplayArrayInTable(Fertiliser_SourceData.Fertiliser_Products_Data1(),FertiliserProducts[[#Headers],[Include or Exclude]], 0,4)</f>
        <v/>
      </c>
      <c r="K96" s="187" t="str" cm="1">
        <f t="array" ref="K96">Common_InputFunctions.Utility_DisplayArrayInTable(Fertiliser_SourceData.Fertiliser_Products_Data1(),FertiliserProducts[[#Headers],[Include or Exclude]], 0,4)</f>
        <v/>
      </c>
      <c r="L96" s="187" t="str" cm="1">
        <f t="array" ref="L96">Common_InputFunctions.Utility_DisplayArrayInTable(Fertiliser_SourceData.Fertiliser_Products_Data1(),FertiliserProducts[[#Headers],[Include or Exclude]], 0,4)</f>
        <v>Nitrogen - Generic</v>
      </c>
      <c r="M96" s="187" cm="1">
        <f t="array" ref="M96">Common_InputFunctions.Utility_DisplayArrayInTable(Fertiliser_SourceData.Fertiliser_Products_Data1(),FertiliserProducts[[#Headers],[Include or Exclude]], 0,4)</f>
        <v>0.10299999999999999</v>
      </c>
      <c r="N96" s="187" t="str" cm="1">
        <f t="array" ref="N96">Common_InputFunctions.Utility_DisplayArrayInTable(Fertiliser_SourceData.Fertiliser_Products_Data1(),FertiliserProducts[[#Headers],[Include or Exclude]], 0,4)</f>
        <v>Phosphorus - Generic</v>
      </c>
      <c r="O96" s="187" cm="1">
        <f t="array" ref="O96">Common_InputFunctions.Utility_DisplayArrayInTable(Fertiliser_SourceData.Fertiliser_Products_Data1(),FertiliserProducts[[#Headers],[Include or Exclude]], 0,4)</f>
        <v>0.1</v>
      </c>
      <c r="P96" s="187" t="str" cm="1">
        <f t="array" ref="P96">Common_InputFunctions.Utility_DisplayArrayInTable(Fertiliser_SourceData.Fertiliser_Products_Data1(),FertiliserProducts[[#Headers],[Include or Exclude]], 0,4)</f>
        <v>Potassium - Generic</v>
      </c>
      <c r="Q96" s="187" cm="1">
        <f t="array" ref="Q96">Common_InputFunctions.Utility_DisplayArrayInTable(Fertiliser_SourceData.Fertiliser_Products_Data1(),FertiliserProducts[[#Headers],[Include or Exclude]], 0,4)</f>
        <v>3.4000000000000002E-2</v>
      </c>
      <c r="R96" s="187" t="str" cm="1">
        <f t="array" ref="R96">Common_InputFunctions.Utility_DisplayArrayInTable(Fertiliser_SourceData.Fertiliser_Products_Data1(),FertiliserProducts[[#Headers],[Include or Exclude]], 0,4)</f>
        <v/>
      </c>
      <c r="S96" s="187" t="str" cm="1">
        <f t="array" ref="S96">Common_InputFunctions.Utility_DisplayArrayInTable(Fertiliser_SourceData.Fertiliser_Products_Data1(),FertiliserProducts[[#Headers],[Include or Exclude]], 0,4)</f>
        <v/>
      </c>
      <c r="T96" s="187" t="str" cm="1">
        <f t="array" ref="T96">Common_InputFunctions.Utility_DisplayArrayInTable(Fertiliser_SourceData.Fertiliser_Products_Data1(),FertiliserProducts[[#Headers],[Include or Exclude]], 0,4)</f>
        <v/>
      </c>
      <c r="U96" s="187" t="str" cm="1">
        <f t="array" ref="U96">Common_InputFunctions.Utility_DisplayArrayInTable(Fertiliser_SourceData.Fertiliser_Products_Data1(),FertiliserProducts[[#Headers],[Include or Exclude]], 0,4)</f>
        <v/>
      </c>
      <c r="V96" s="187" t="str" cm="1">
        <f t="array" ref="V96">Common_InputFunctions.Utility_DisplayArrayInTable(Fertiliser_SourceData.Fertiliser_Products_Data1(),FertiliserProducts[[#Headers],[Include or Exclude]], 0,4)</f>
        <v/>
      </c>
      <c r="W96" s="187" t="str" cm="1">
        <f t="array" ref="W96">Common_InputFunctions.Utility_DisplayArrayInTable(Fertiliser_SourceData.Fertiliser_Products_Data1(),FertiliserProducts[[#Headers],[Include or Exclude]], 0,4)</f>
        <v/>
      </c>
      <c r="X96" s="187" t="str" cm="1">
        <f t="array" ref="X96">Common_InputFunctions.Utility_DisplayArrayInTable(Fertiliser_SourceData.Fertiliser_Products_Data1(),FertiliserProducts[[#Headers],[Include or Exclude]], 0,4)</f>
        <v/>
      </c>
      <c r="Y96" s="187" t="str" cm="1">
        <f t="array" ref="Y96">Common_InputFunctions.Utility_DisplayArrayInTable(Fertiliser_SourceData.Fertiliser_Products_Data1(),FertiliserProducts[[#Headers],[Include or Exclude]], 0,4)</f>
        <v/>
      </c>
      <c r="Z96" s="187" t="str" cm="1">
        <f t="array" ref="Z96">Common_InputFunctions.Utility_DisplayArrayInTable(Fertiliser_SourceData.Fertiliser_Products_Data1(),FertiliserProducts[[#Headers],[Include or Exclude]], 0,4)</f>
        <v/>
      </c>
      <c r="AA96" s="187" t="str" cm="1">
        <f t="array" ref="AA96">Common_InputFunctions.Utility_DisplayArrayInTable(Fertiliser_SourceData.Fertiliser_Products_Data1(),FertiliserProducts[[#Headers],[Include or Exclude]], 0,4)</f>
        <v/>
      </c>
      <c r="AB96" s="187" t="str" cm="1">
        <f t="array" ref="AB96">Common_InputFunctions.Utility_DisplayArrayInTable(Fertiliser_SourceData.Fertiliser_Products_Data1(),FertiliserProducts[[#Headers],[Include or Exclude]], 0,4)</f>
        <v/>
      </c>
      <c r="AC96" s="187" t="str" cm="1">
        <f t="array" ref="AC96">Common_InputFunctions.Utility_DisplayArrayInTable(Fertiliser_SourceData.Fertiliser_Products_Data1(),FertiliserProducts[[#Headers],[Include or Exclude]], 0,4)</f>
        <v/>
      </c>
      <c r="AD96" s="187" t="str" cm="1">
        <f t="array" ref="AD96">Common_InputFunctions.Utility_DisplayArrayInTable(Fertiliser_SourceData.Fertiliser_Products_Data1(),FertiliserProducts[[#Headers],[Include or Exclude]], 0,4)</f>
        <v/>
      </c>
      <c r="AE96" s="187" t="str" cm="1">
        <f t="array" ref="AE96">Common_InputFunctions.Utility_DisplayArrayInTable(Fertiliser_SourceData.Fertiliser_Products_Data1(),FertiliserProducts[[#Headers],[Include or Exclude]], 0,4)</f>
        <v/>
      </c>
    </row>
    <row r="97" spans="4:31" ht="20.100000000000001" customHeight="1" x14ac:dyDescent="0.25">
      <c r="D97" s="187" t="str" cm="1">
        <f t="array" ref="D97">Common_InputFunctions.Utility_DisplayArrayInTable(Fertiliser_SourceData.Fertiliser_Products_Data1(),FertiliserProducts[[#Headers],[Include or Exclude]], -1)</f>
        <v>Include</v>
      </c>
      <c r="E97" s="187" t="str" cm="1">
        <f t="array" ref="E97">Common_InputFunctions.Utility_DisplayArrayInTable(Fertiliser_SourceData.Fertiliser_Products_Data1(),FertiliserProducts[[#Headers],[Include or Exclude]], 0)</f>
        <v/>
      </c>
      <c r="F97" s="187" t="str" cm="1">
        <f t="array" ref="F97">Common_InputFunctions.Utility_DisplayArrayInTable(Fertiliser_SourceData.Fertiliser_Products_Data1(),FertiliserProducts[[#Headers],[Include or Exclude]], 0)</f>
        <v>Campbells fertilisers Australia</v>
      </c>
      <c r="G97" s="187" t="str" cm="1">
        <f t="array" ref="G97">Common_InputFunctions.Utility_DisplayArrayInTable(Fertiliser_SourceData.Fertiliser_Products_Data1(),FertiliserProducts[[#Headers],[Include or Exclude]], 0)</f>
        <v>Aqua Thio-Complete</v>
      </c>
      <c r="H97" s="187" t="str" cm="1">
        <f t="array" ref="H97">Common_InputFunctions.Utility_DisplayArrayInTable(Fertiliser_SourceData.Fertiliser_Products_Data1(),FertiliserProducts[[#Headers],[Include or Exclude]], 0,4)</f>
        <v>L</v>
      </c>
      <c r="I97" s="187" cm="1">
        <f t="array" ref="I97">Common_InputFunctions.Utility_DisplayArrayInTable(Fertiliser_SourceData.Fertiliser_Products_Data1(),FertiliserProducts[[#Headers],[Include or Exclude]], 0,4)</f>
        <v>1.43</v>
      </c>
      <c r="J97" s="187" t="str" cm="1">
        <f t="array" ref="J97">Common_InputFunctions.Utility_DisplayArrayInTable(Fertiliser_SourceData.Fertiliser_Products_Data1(),FertiliserProducts[[#Headers],[Include or Exclude]], 0,4)</f>
        <v/>
      </c>
      <c r="K97" s="187" t="str" cm="1">
        <f t="array" ref="K97">Common_InputFunctions.Utility_DisplayArrayInTable(Fertiliser_SourceData.Fertiliser_Products_Data1(),FertiliserProducts[[#Headers],[Include or Exclude]], 0,4)</f>
        <v/>
      </c>
      <c r="L97" s="187" t="str" cm="1">
        <f t="array" ref="L97">Common_InputFunctions.Utility_DisplayArrayInTable(Fertiliser_SourceData.Fertiliser_Products_Data1(),FertiliserProducts[[#Headers],[Include or Exclude]], 0,4)</f>
        <v>Potassium - Generic</v>
      </c>
      <c r="M97" s="187" cm="1">
        <f t="array" ref="M97">Common_InputFunctions.Utility_DisplayArrayInTable(Fertiliser_SourceData.Fertiliser_Products_Data1(),FertiliserProducts[[#Headers],[Include or Exclude]], 0,4)</f>
        <v>0.22500000000000001</v>
      </c>
      <c r="N97" s="187" t="str" cm="1">
        <f t="array" ref="N97">Common_InputFunctions.Utility_DisplayArrayInTable(Fertiliser_SourceData.Fertiliser_Products_Data1(),FertiliserProducts[[#Headers],[Include or Exclude]], 0,4)</f>
        <v>Phosphorus - Generic</v>
      </c>
      <c r="O97" s="187" cm="1">
        <f t="array" ref="O97">Common_InputFunctions.Utility_DisplayArrayInTable(Fertiliser_SourceData.Fertiliser_Products_Data1(),FertiliserProducts[[#Headers],[Include or Exclude]], 0,4)</f>
        <v>3.7999999999999999E-2</v>
      </c>
      <c r="P97" s="187" t="str" cm="1">
        <f t="array" ref="P97">Common_InputFunctions.Utility_DisplayArrayInTable(Fertiliser_SourceData.Fertiliser_Products_Data1(),FertiliserProducts[[#Headers],[Include or Exclude]], 0,4)</f>
        <v>Nitrogen - Generic</v>
      </c>
      <c r="Q97" s="187" cm="1">
        <f t="array" ref="Q97">Common_InputFunctions.Utility_DisplayArrayInTable(Fertiliser_SourceData.Fertiliser_Products_Data1(),FertiliserProducts[[#Headers],[Include or Exclude]], 0,4)</f>
        <v>2.5000000000000001E-2</v>
      </c>
      <c r="R97" s="187" t="str" cm="1">
        <f t="array" ref="R97">Common_InputFunctions.Utility_DisplayArrayInTable(Fertiliser_SourceData.Fertiliser_Products_Data1(),FertiliserProducts[[#Headers],[Include or Exclude]], 0,4)</f>
        <v/>
      </c>
      <c r="S97" s="187" t="str" cm="1">
        <f t="array" ref="S97">Common_InputFunctions.Utility_DisplayArrayInTable(Fertiliser_SourceData.Fertiliser_Products_Data1(),FertiliserProducts[[#Headers],[Include or Exclude]], 0,4)</f>
        <v/>
      </c>
      <c r="T97" s="187" t="str" cm="1">
        <f t="array" ref="T97">Common_InputFunctions.Utility_DisplayArrayInTable(Fertiliser_SourceData.Fertiliser_Products_Data1(),FertiliserProducts[[#Headers],[Include or Exclude]], 0,4)</f>
        <v/>
      </c>
      <c r="U97" s="187" t="str" cm="1">
        <f t="array" ref="U97">Common_InputFunctions.Utility_DisplayArrayInTable(Fertiliser_SourceData.Fertiliser_Products_Data1(),FertiliserProducts[[#Headers],[Include or Exclude]], 0,4)</f>
        <v/>
      </c>
      <c r="V97" s="187" t="str" cm="1">
        <f t="array" ref="V97">Common_InputFunctions.Utility_DisplayArrayInTable(Fertiliser_SourceData.Fertiliser_Products_Data1(),FertiliserProducts[[#Headers],[Include or Exclude]], 0,4)</f>
        <v/>
      </c>
      <c r="W97" s="187" t="str" cm="1">
        <f t="array" ref="W97">Common_InputFunctions.Utility_DisplayArrayInTable(Fertiliser_SourceData.Fertiliser_Products_Data1(),FertiliserProducts[[#Headers],[Include or Exclude]], 0,4)</f>
        <v/>
      </c>
      <c r="X97" s="187" t="str" cm="1">
        <f t="array" ref="X97">Common_InputFunctions.Utility_DisplayArrayInTable(Fertiliser_SourceData.Fertiliser_Products_Data1(),FertiliserProducts[[#Headers],[Include or Exclude]], 0,4)</f>
        <v/>
      </c>
      <c r="Y97" s="187" t="str" cm="1">
        <f t="array" ref="Y97">Common_InputFunctions.Utility_DisplayArrayInTable(Fertiliser_SourceData.Fertiliser_Products_Data1(),FertiliserProducts[[#Headers],[Include or Exclude]], 0,4)</f>
        <v/>
      </c>
      <c r="Z97" s="187" t="str" cm="1">
        <f t="array" ref="Z97">Common_InputFunctions.Utility_DisplayArrayInTable(Fertiliser_SourceData.Fertiliser_Products_Data1(),FertiliserProducts[[#Headers],[Include or Exclude]], 0,4)</f>
        <v/>
      </c>
      <c r="AA97" s="187" t="str" cm="1">
        <f t="array" ref="AA97">Common_InputFunctions.Utility_DisplayArrayInTable(Fertiliser_SourceData.Fertiliser_Products_Data1(),FertiliserProducts[[#Headers],[Include or Exclude]], 0,4)</f>
        <v/>
      </c>
      <c r="AB97" s="187" t="str" cm="1">
        <f t="array" ref="AB97">Common_InputFunctions.Utility_DisplayArrayInTable(Fertiliser_SourceData.Fertiliser_Products_Data1(),FertiliserProducts[[#Headers],[Include or Exclude]], 0,4)</f>
        <v/>
      </c>
      <c r="AC97" s="187" t="str" cm="1">
        <f t="array" ref="AC97">Common_InputFunctions.Utility_DisplayArrayInTable(Fertiliser_SourceData.Fertiliser_Products_Data1(),FertiliserProducts[[#Headers],[Include or Exclude]], 0,4)</f>
        <v/>
      </c>
      <c r="AD97" s="187" t="str" cm="1">
        <f t="array" ref="AD97">Common_InputFunctions.Utility_DisplayArrayInTable(Fertiliser_SourceData.Fertiliser_Products_Data1(),FertiliserProducts[[#Headers],[Include or Exclude]], 0,4)</f>
        <v/>
      </c>
      <c r="AE97" s="187" t="str" cm="1">
        <f t="array" ref="AE97">Common_InputFunctions.Utility_DisplayArrayInTable(Fertiliser_SourceData.Fertiliser_Products_Data1(),FertiliserProducts[[#Headers],[Include or Exclude]], 0,4)</f>
        <v/>
      </c>
    </row>
    <row r="98" spans="4:31" ht="20.100000000000001" customHeight="1" x14ac:dyDescent="0.25">
      <c r="D98" s="187" t="str" cm="1">
        <f t="array" ref="D98">Common_InputFunctions.Utility_DisplayArrayInTable(Fertiliser_SourceData.Fertiliser_Products_Data1(),FertiliserProducts[[#Headers],[Include or Exclude]], -1)</f>
        <v>Include</v>
      </c>
      <c r="E98" s="187" t="str" cm="1">
        <f t="array" ref="E98">Common_InputFunctions.Utility_DisplayArrayInTable(Fertiliser_SourceData.Fertiliser_Products_Data1(),FertiliserProducts[[#Headers],[Include or Exclude]], 0)</f>
        <v/>
      </c>
      <c r="F98" s="187" t="str" cm="1">
        <f t="array" ref="F98">Common_InputFunctions.Utility_DisplayArrayInTable(Fertiliser_SourceData.Fertiliser_Products_Data1(),FertiliserProducts[[#Headers],[Include or Exclude]], 0)</f>
        <v>Campbells fertilisers Australia</v>
      </c>
      <c r="G98" s="187" t="str" cm="1">
        <f t="array" ref="G98">Common_InputFunctions.Utility_DisplayArrayInTable(Fertiliser_SourceData.Fertiliser_Products_Data1(),FertiliserProducts[[#Headers],[Include or Exclude]], 0)</f>
        <v>Aqua Thio-Emerge</v>
      </c>
      <c r="H98" s="187" t="str" cm="1">
        <f t="array" ref="H98">Common_InputFunctions.Utility_DisplayArrayInTable(Fertiliser_SourceData.Fertiliser_Products_Data1(),FertiliserProducts[[#Headers],[Include or Exclude]], 0,4)</f>
        <v>L</v>
      </c>
      <c r="I98" s="187" cm="1">
        <f t="array" ref="I98">Common_InputFunctions.Utility_DisplayArrayInTable(Fertiliser_SourceData.Fertiliser_Products_Data1(),FertiliserProducts[[#Headers],[Include or Exclude]], 0,4)</f>
        <v>1.29</v>
      </c>
      <c r="J98" s="187" t="str" cm="1">
        <f t="array" ref="J98">Common_InputFunctions.Utility_DisplayArrayInTable(Fertiliser_SourceData.Fertiliser_Products_Data1(),FertiliserProducts[[#Headers],[Include or Exclude]], 0,4)</f>
        <v/>
      </c>
      <c r="K98" s="187" t="str" cm="1">
        <f t="array" ref="K98">Common_InputFunctions.Utility_DisplayArrayInTable(Fertiliser_SourceData.Fertiliser_Products_Data1(),FertiliserProducts[[#Headers],[Include or Exclude]], 0,4)</f>
        <v/>
      </c>
      <c r="L98" s="187" t="str" cm="1">
        <f t="array" ref="L98">Common_InputFunctions.Utility_DisplayArrayInTable(Fertiliser_SourceData.Fertiliser_Products_Data1(),FertiliserProducts[[#Headers],[Include or Exclude]], 0,4)</f>
        <v>Nitrogen - Generic</v>
      </c>
      <c r="M98" s="187" cm="1">
        <f t="array" ref="M98">Common_InputFunctions.Utility_DisplayArrayInTable(Fertiliser_SourceData.Fertiliser_Products_Data1(),FertiliserProducts[[#Headers],[Include or Exclude]], 0,4)</f>
        <v>0.105</v>
      </c>
      <c r="N98" s="187" t="str" cm="1">
        <f t="array" ref="N98">Common_InputFunctions.Utility_DisplayArrayInTable(Fertiliser_SourceData.Fertiliser_Products_Data1(),FertiliserProducts[[#Headers],[Include or Exclude]], 0,4)</f>
        <v>Phosphorus - Generic</v>
      </c>
      <c r="O98" s="187" cm="1">
        <f t="array" ref="O98">Common_InputFunctions.Utility_DisplayArrayInTable(Fertiliser_SourceData.Fertiliser_Products_Data1(),FertiliserProducts[[#Headers],[Include or Exclude]], 0,4)</f>
        <v>9.4E-2</v>
      </c>
      <c r="P98" s="187" t="str" cm="1">
        <f t="array" ref="P98">Common_InputFunctions.Utility_DisplayArrayInTable(Fertiliser_SourceData.Fertiliser_Products_Data1(),FertiliserProducts[[#Headers],[Include or Exclude]], 0,4)</f>
        <v>Potassium - Generic</v>
      </c>
      <c r="Q98" s="187" cm="1">
        <f t="array" ref="Q98">Common_InputFunctions.Utility_DisplayArrayInTable(Fertiliser_SourceData.Fertiliser_Products_Data1(),FertiliserProducts[[#Headers],[Include or Exclude]], 0,4)</f>
        <v>0.04</v>
      </c>
      <c r="R98" s="187" t="str" cm="1">
        <f t="array" ref="R98">Common_InputFunctions.Utility_DisplayArrayInTable(Fertiliser_SourceData.Fertiliser_Products_Data1(),FertiliserProducts[[#Headers],[Include or Exclude]], 0,4)</f>
        <v>Sulfur - Generic</v>
      </c>
      <c r="S98" s="187" cm="1">
        <f t="array" ref="S98">Common_InputFunctions.Utility_DisplayArrayInTable(Fertiliser_SourceData.Fertiliser_Products_Data1(),FertiliserProducts[[#Headers],[Include or Exclude]], 0,4)</f>
        <v>0.03</v>
      </c>
      <c r="T98" s="187" t="str" cm="1">
        <f t="array" ref="T98">Common_InputFunctions.Utility_DisplayArrayInTable(Fertiliser_SourceData.Fertiliser_Products_Data1(),FertiliserProducts[[#Headers],[Include or Exclude]], 0,4)</f>
        <v/>
      </c>
      <c r="U98" s="187" t="str" cm="1">
        <f t="array" ref="U98">Common_InputFunctions.Utility_DisplayArrayInTable(Fertiliser_SourceData.Fertiliser_Products_Data1(),FertiliserProducts[[#Headers],[Include or Exclude]], 0,4)</f>
        <v/>
      </c>
      <c r="V98" s="187" t="str" cm="1">
        <f t="array" ref="V98">Common_InputFunctions.Utility_DisplayArrayInTable(Fertiliser_SourceData.Fertiliser_Products_Data1(),FertiliserProducts[[#Headers],[Include or Exclude]], 0,4)</f>
        <v/>
      </c>
      <c r="W98" s="187" t="str" cm="1">
        <f t="array" ref="W98">Common_InputFunctions.Utility_DisplayArrayInTable(Fertiliser_SourceData.Fertiliser_Products_Data1(),FertiliserProducts[[#Headers],[Include or Exclude]], 0,4)</f>
        <v/>
      </c>
      <c r="X98" s="187" t="str" cm="1">
        <f t="array" ref="X98">Common_InputFunctions.Utility_DisplayArrayInTable(Fertiliser_SourceData.Fertiliser_Products_Data1(),FertiliserProducts[[#Headers],[Include or Exclude]], 0,4)</f>
        <v/>
      </c>
      <c r="Y98" s="187" t="str" cm="1">
        <f t="array" ref="Y98">Common_InputFunctions.Utility_DisplayArrayInTable(Fertiliser_SourceData.Fertiliser_Products_Data1(),FertiliserProducts[[#Headers],[Include or Exclude]], 0,4)</f>
        <v/>
      </c>
      <c r="Z98" s="187" t="str" cm="1">
        <f t="array" ref="Z98">Common_InputFunctions.Utility_DisplayArrayInTable(Fertiliser_SourceData.Fertiliser_Products_Data1(),FertiliserProducts[[#Headers],[Include or Exclude]], 0,4)</f>
        <v/>
      </c>
      <c r="AA98" s="187" t="str" cm="1">
        <f t="array" ref="AA98">Common_InputFunctions.Utility_DisplayArrayInTable(Fertiliser_SourceData.Fertiliser_Products_Data1(),FertiliserProducts[[#Headers],[Include or Exclude]], 0,4)</f>
        <v/>
      </c>
      <c r="AB98" s="187" t="str" cm="1">
        <f t="array" ref="AB98">Common_InputFunctions.Utility_DisplayArrayInTable(Fertiliser_SourceData.Fertiliser_Products_Data1(),FertiliserProducts[[#Headers],[Include or Exclude]], 0,4)</f>
        <v/>
      </c>
      <c r="AC98" s="187" t="str" cm="1">
        <f t="array" ref="AC98">Common_InputFunctions.Utility_DisplayArrayInTable(Fertiliser_SourceData.Fertiliser_Products_Data1(),FertiliserProducts[[#Headers],[Include or Exclude]], 0,4)</f>
        <v/>
      </c>
      <c r="AD98" s="187" t="str" cm="1">
        <f t="array" ref="AD98">Common_InputFunctions.Utility_DisplayArrayInTable(Fertiliser_SourceData.Fertiliser_Products_Data1(),FertiliserProducts[[#Headers],[Include or Exclude]], 0,4)</f>
        <v/>
      </c>
      <c r="AE98" s="187" t="str" cm="1">
        <f t="array" ref="AE98">Common_InputFunctions.Utility_DisplayArrayInTable(Fertiliser_SourceData.Fertiliser_Products_Data1(),FertiliserProducts[[#Headers],[Include or Exclude]], 0,4)</f>
        <v/>
      </c>
    </row>
    <row r="99" spans="4:31" ht="20.100000000000001" customHeight="1" x14ac:dyDescent="0.25">
      <c r="D99" s="187" t="str" cm="1">
        <f t="array" ref="D99">Common_InputFunctions.Utility_DisplayArrayInTable(Fertiliser_SourceData.Fertiliser_Products_Data1(),FertiliserProducts[[#Headers],[Include or Exclude]], -1)</f>
        <v>Exclude - Not relevant</v>
      </c>
      <c r="E99" s="187" t="str" cm="1">
        <f t="array" ref="E99">Common_InputFunctions.Utility_DisplayArrayInTable(Fertiliser_SourceData.Fertiliser_Products_Data1(),FertiliserProducts[[#Headers],[Include or Exclude]], 0)</f>
        <v/>
      </c>
      <c r="F99" s="187" t="str" cm="1">
        <f t="array" ref="F99">Common_InputFunctions.Utility_DisplayArrayInTable(Fertiliser_SourceData.Fertiliser_Products_Data1(),FertiliserProducts[[#Headers],[Include or Exclude]], 0)</f>
        <v>Campbells fertilisers Australia</v>
      </c>
      <c r="G99" s="187" t="str" cm="1">
        <f t="array" ref="G99">Common_InputFunctions.Utility_DisplayArrayInTable(Fertiliser_SourceData.Fertiliser_Products_Data1(),FertiliserProducts[[#Headers],[Include or Exclude]], 0)</f>
        <v>Aqua Thio-Flourish</v>
      </c>
      <c r="H99" s="187" t="str" cm="1">
        <f t="array" ref="H99">Common_InputFunctions.Utility_DisplayArrayInTable(Fertiliser_SourceData.Fertiliser_Products_Data1(),FertiliserProducts[[#Headers],[Include or Exclude]], 0,4)</f>
        <v>L</v>
      </c>
      <c r="I99" s="187" cm="1">
        <f t="array" ref="I99">Common_InputFunctions.Utility_DisplayArrayInTable(Fertiliser_SourceData.Fertiliser_Products_Data1(),FertiliserProducts[[#Headers],[Include or Exclude]], 0,4)</f>
        <v>1.32</v>
      </c>
      <c r="J99" s="187" t="str" cm="1">
        <f t="array" ref="J99">Common_InputFunctions.Utility_DisplayArrayInTable(Fertiliser_SourceData.Fertiliser_Products_Data1(),FertiliserProducts[[#Headers],[Include or Exclude]], 0,4)</f>
        <v/>
      </c>
      <c r="K99" s="187" t="str" cm="1">
        <f t="array" ref="K99">Common_InputFunctions.Utility_DisplayArrayInTable(Fertiliser_SourceData.Fertiliser_Products_Data1(),FertiliserProducts[[#Headers],[Include or Exclude]], 0,4)</f>
        <v/>
      </c>
      <c r="L99" s="187" t="str" cm="1">
        <f t="array" ref="L99">Common_InputFunctions.Utility_DisplayArrayInTable(Fertiliser_SourceData.Fertiliser_Products_Data1(),FertiliserProducts[[#Headers],[Include or Exclude]], 0,4)</f>
        <v>Potassium - Generic</v>
      </c>
      <c r="M99" s="187" cm="1">
        <f t="array" ref="M99">Common_InputFunctions.Utility_DisplayArrayInTable(Fertiliser_SourceData.Fertiliser_Products_Data1(),FertiliserProducts[[#Headers],[Include or Exclude]], 0,4)</f>
        <v>0.108</v>
      </c>
      <c r="N99" s="187" t="str" cm="1">
        <f t="array" ref="N99">Common_InputFunctions.Utility_DisplayArrayInTable(Fertiliser_SourceData.Fertiliser_Products_Data1(),FertiliserProducts[[#Headers],[Include or Exclude]], 0,4)</f>
        <v>Nitrogen - Generic</v>
      </c>
      <c r="O99" s="187" cm="1">
        <f t="array" ref="O99">Common_InputFunctions.Utility_DisplayArrayInTable(Fertiliser_SourceData.Fertiliser_Products_Data1(),FertiliserProducts[[#Headers],[Include or Exclude]], 0,4)</f>
        <v>9.5000000000000001E-2</v>
      </c>
      <c r="P99" s="187" t="str" cm="1">
        <f t="array" ref="P99">Common_InputFunctions.Utility_DisplayArrayInTable(Fertiliser_SourceData.Fertiliser_Products_Data1(),FertiliserProducts[[#Headers],[Include or Exclude]], 0,4)</f>
        <v>Sulfur - Generic</v>
      </c>
      <c r="Q99" s="187" cm="1">
        <f t="array" ref="Q99">Common_InputFunctions.Utility_DisplayArrayInTable(Fertiliser_SourceData.Fertiliser_Products_Data1(),FertiliserProducts[[#Headers],[Include or Exclude]], 0,4)</f>
        <v>8.1000000000000003E-2</v>
      </c>
      <c r="R99" s="187" t="str" cm="1">
        <f t="array" ref="R99">Common_InputFunctions.Utility_DisplayArrayInTable(Fertiliser_SourceData.Fertiliser_Products_Data1(),FertiliserProducts[[#Headers],[Include or Exclude]], 0,4)</f>
        <v>Phosphorus - Generic</v>
      </c>
      <c r="S99" s="187" cm="1">
        <f t="array" ref="S99">Common_InputFunctions.Utility_DisplayArrayInTable(Fertiliser_SourceData.Fertiliser_Products_Data1(),FertiliserProducts[[#Headers],[Include or Exclude]], 0,4)</f>
        <v>4.7E-2</v>
      </c>
      <c r="T99" s="187" t="str" cm="1">
        <f t="array" ref="T99">Common_InputFunctions.Utility_DisplayArrayInTable(Fertiliser_SourceData.Fertiliser_Products_Data1(),FertiliserProducts[[#Headers],[Include or Exclude]], 0,4)</f>
        <v/>
      </c>
      <c r="U99" s="187" t="str" cm="1">
        <f t="array" ref="U99">Common_InputFunctions.Utility_DisplayArrayInTable(Fertiliser_SourceData.Fertiliser_Products_Data1(),FertiliserProducts[[#Headers],[Include or Exclude]], 0,4)</f>
        <v/>
      </c>
      <c r="V99" s="187" t="str" cm="1">
        <f t="array" ref="V99">Common_InputFunctions.Utility_DisplayArrayInTable(Fertiliser_SourceData.Fertiliser_Products_Data1(),FertiliserProducts[[#Headers],[Include or Exclude]], 0,4)</f>
        <v/>
      </c>
      <c r="W99" s="187" t="str" cm="1">
        <f t="array" ref="W99">Common_InputFunctions.Utility_DisplayArrayInTable(Fertiliser_SourceData.Fertiliser_Products_Data1(),FertiliserProducts[[#Headers],[Include or Exclude]], 0,4)</f>
        <v/>
      </c>
      <c r="X99" s="187" t="str" cm="1">
        <f t="array" ref="X99">Common_InputFunctions.Utility_DisplayArrayInTable(Fertiliser_SourceData.Fertiliser_Products_Data1(),FertiliserProducts[[#Headers],[Include or Exclude]], 0,4)</f>
        <v/>
      </c>
      <c r="Y99" s="187" t="str" cm="1">
        <f t="array" ref="Y99">Common_InputFunctions.Utility_DisplayArrayInTable(Fertiliser_SourceData.Fertiliser_Products_Data1(),FertiliserProducts[[#Headers],[Include or Exclude]], 0,4)</f>
        <v/>
      </c>
      <c r="Z99" s="187" t="str" cm="1">
        <f t="array" ref="Z99">Common_InputFunctions.Utility_DisplayArrayInTable(Fertiliser_SourceData.Fertiliser_Products_Data1(),FertiliserProducts[[#Headers],[Include or Exclude]], 0,4)</f>
        <v/>
      </c>
      <c r="AA99" s="187" t="str" cm="1">
        <f t="array" ref="AA99">Common_InputFunctions.Utility_DisplayArrayInTable(Fertiliser_SourceData.Fertiliser_Products_Data1(),FertiliserProducts[[#Headers],[Include or Exclude]], 0,4)</f>
        <v/>
      </c>
      <c r="AB99" s="187" t="str" cm="1">
        <f t="array" ref="AB99">Common_InputFunctions.Utility_DisplayArrayInTable(Fertiliser_SourceData.Fertiliser_Products_Data1(),FertiliserProducts[[#Headers],[Include or Exclude]], 0,4)</f>
        <v/>
      </c>
      <c r="AC99" s="187" t="str" cm="1">
        <f t="array" ref="AC99">Common_InputFunctions.Utility_DisplayArrayInTable(Fertiliser_SourceData.Fertiliser_Products_Data1(),FertiliserProducts[[#Headers],[Include or Exclude]], 0,4)</f>
        <v/>
      </c>
      <c r="AD99" s="187" t="str" cm="1">
        <f t="array" ref="AD99">Common_InputFunctions.Utility_DisplayArrayInTable(Fertiliser_SourceData.Fertiliser_Products_Data1(),FertiliserProducts[[#Headers],[Include or Exclude]], 0,4)</f>
        <v/>
      </c>
      <c r="AE99" s="187" t="str" cm="1">
        <f t="array" ref="AE99">Common_InputFunctions.Utility_DisplayArrayInTable(Fertiliser_SourceData.Fertiliser_Products_Data1(),FertiliserProducts[[#Headers],[Include or Exclude]], 0,4)</f>
        <v/>
      </c>
    </row>
    <row r="100" spans="4:31" ht="20.100000000000001" customHeight="1" x14ac:dyDescent="0.25">
      <c r="D100" s="187" t="str" cm="1">
        <f t="array" ref="D100">Common_InputFunctions.Utility_DisplayArrayInTable(Fertiliser_SourceData.Fertiliser_Products_Data1(),FertiliserProducts[[#Headers],[Include or Exclude]], -1)</f>
        <v>Exclude - Not relevant</v>
      </c>
      <c r="E100" s="187" t="str" cm="1">
        <f t="array" ref="E100">Common_InputFunctions.Utility_DisplayArrayInTable(Fertiliser_SourceData.Fertiliser_Products_Data1(),FertiliserProducts[[#Headers],[Include or Exclude]], 0)</f>
        <v/>
      </c>
      <c r="F100" s="187" t="str" cm="1">
        <f t="array" ref="F100">Common_InputFunctions.Utility_DisplayArrayInTable(Fertiliser_SourceData.Fertiliser_Products_Data1(),FertiliserProducts[[#Headers],[Include or Exclude]], 0)</f>
        <v>Campbells fertilisers Australia</v>
      </c>
      <c r="G100" s="187" t="str" cm="1">
        <f t="array" ref="G100">Common_InputFunctions.Utility_DisplayArrayInTable(Fertiliser_SourceData.Fertiliser_Products_Data1(),FertiliserProducts[[#Headers],[Include or Exclude]], 0)</f>
        <v>Asco Fol Plus</v>
      </c>
      <c r="H100" s="187" t="str" cm="1">
        <f t="array" ref="H100">Common_InputFunctions.Utility_DisplayArrayInTable(Fertiliser_SourceData.Fertiliser_Products_Data1(),FertiliserProducts[[#Headers],[Include or Exclude]], 0,4)</f>
        <v/>
      </c>
      <c r="I100" s="187" t="str" cm="1">
        <f t="array" ref="I100">Common_InputFunctions.Utility_DisplayArrayInTable(Fertiliser_SourceData.Fertiliser_Products_Data1(),FertiliserProducts[[#Headers],[Include or Exclude]], 0,4)</f>
        <v/>
      </c>
      <c r="J100" s="187" t="str" cm="1">
        <f t="array" ref="J100">Common_InputFunctions.Utility_DisplayArrayInTable(Fertiliser_SourceData.Fertiliser_Products_Data1(),FertiliserProducts[[#Headers],[Include or Exclude]], 0,4)</f>
        <v/>
      </c>
      <c r="K100" s="187" t="str" cm="1">
        <f t="array" ref="K100">Common_InputFunctions.Utility_DisplayArrayInTable(Fertiliser_SourceData.Fertiliser_Products_Data1(),FertiliserProducts[[#Headers],[Include or Exclude]], 0,4)</f>
        <v/>
      </c>
      <c r="L100" s="187" t="str" cm="1">
        <f t="array" ref="L100">Common_InputFunctions.Utility_DisplayArrayInTable(Fertiliser_SourceData.Fertiliser_Products_Data1(),FertiliserProducts[[#Headers],[Include or Exclude]], 0,4)</f>
        <v/>
      </c>
      <c r="M100" s="187" t="str" cm="1">
        <f t="array" ref="M100">Common_InputFunctions.Utility_DisplayArrayInTable(Fertiliser_SourceData.Fertiliser_Products_Data1(),FertiliserProducts[[#Headers],[Include or Exclude]], 0,4)</f>
        <v/>
      </c>
      <c r="N100" s="187" t="str" cm="1">
        <f t="array" ref="N100">Common_InputFunctions.Utility_DisplayArrayInTable(Fertiliser_SourceData.Fertiliser_Products_Data1(),FertiliserProducts[[#Headers],[Include or Exclude]], 0,4)</f>
        <v/>
      </c>
      <c r="O100" s="187" t="str" cm="1">
        <f t="array" ref="O100">Common_InputFunctions.Utility_DisplayArrayInTable(Fertiliser_SourceData.Fertiliser_Products_Data1(),FertiliserProducts[[#Headers],[Include or Exclude]], 0,4)</f>
        <v/>
      </c>
      <c r="P100" s="187" t="str" cm="1">
        <f t="array" ref="P100">Common_InputFunctions.Utility_DisplayArrayInTable(Fertiliser_SourceData.Fertiliser_Products_Data1(),FertiliserProducts[[#Headers],[Include or Exclude]], 0,4)</f>
        <v/>
      </c>
      <c r="Q100" s="187" t="str" cm="1">
        <f t="array" ref="Q100">Common_InputFunctions.Utility_DisplayArrayInTable(Fertiliser_SourceData.Fertiliser_Products_Data1(),FertiliserProducts[[#Headers],[Include or Exclude]], 0,4)</f>
        <v/>
      </c>
      <c r="R100" s="187" t="str" cm="1">
        <f t="array" ref="R100">Common_InputFunctions.Utility_DisplayArrayInTable(Fertiliser_SourceData.Fertiliser_Products_Data1(),FertiliserProducts[[#Headers],[Include or Exclude]], 0,4)</f>
        <v/>
      </c>
      <c r="S100" s="187" t="str" cm="1">
        <f t="array" ref="S100">Common_InputFunctions.Utility_DisplayArrayInTable(Fertiliser_SourceData.Fertiliser_Products_Data1(),FertiliserProducts[[#Headers],[Include or Exclude]], 0,4)</f>
        <v/>
      </c>
      <c r="T100" s="187" t="str" cm="1">
        <f t="array" ref="T100">Common_InputFunctions.Utility_DisplayArrayInTable(Fertiliser_SourceData.Fertiliser_Products_Data1(),FertiliserProducts[[#Headers],[Include or Exclude]], 0,4)</f>
        <v/>
      </c>
      <c r="U100" s="187" t="str" cm="1">
        <f t="array" ref="U100">Common_InputFunctions.Utility_DisplayArrayInTable(Fertiliser_SourceData.Fertiliser_Products_Data1(),FertiliserProducts[[#Headers],[Include or Exclude]], 0,4)</f>
        <v/>
      </c>
      <c r="V100" s="187" t="str" cm="1">
        <f t="array" ref="V100">Common_InputFunctions.Utility_DisplayArrayInTable(Fertiliser_SourceData.Fertiliser_Products_Data1(),FertiliserProducts[[#Headers],[Include or Exclude]], 0,4)</f>
        <v/>
      </c>
      <c r="W100" s="187" t="str" cm="1">
        <f t="array" ref="W100">Common_InputFunctions.Utility_DisplayArrayInTable(Fertiliser_SourceData.Fertiliser_Products_Data1(),FertiliserProducts[[#Headers],[Include or Exclude]], 0,4)</f>
        <v/>
      </c>
      <c r="X100" s="187" t="str" cm="1">
        <f t="array" ref="X100">Common_InputFunctions.Utility_DisplayArrayInTable(Fertiliser_SourceData.Fertiliser_Products_Data1(),FertiliserProducts[[#Headers],[Include or Exclude]], 0,4)</f>
        <v/>
      </c>
      <c r="Y100" s="187" t="str" cm="1">
        <f t="array" ref="Y100">Common_InputFunctions.Utility_DisplayArrayInTable(Fertiliser_SourceData.Fertiliser_Products_Data1(),FertiliserProducts[[#Headers],[Include or Exclude]], 0,4)</f>
        <v/>
      </c>
      <c r="Z100" s="187" t="str" cm="1">
        <f t="array" ref="Z100">Common_InputFunctions.Utility_DisplayArrayInTable(Fertiliser_SourceData.Fertiliser_Products_Data1(),FertiliserProducts[[#Headers],[Include or Exclude]], 0,4)</f>
        <v/>
      </c>
      <c r="AA100" s="187" t="str" cm="1">
        <f t="array" ref="AA100">Common_InputFunctions.Utility_DisplayArrayInTable(Fertiliser_SourceData.Fertiliser_Products_Data1(),FertiliserProducts[[#Headers],[Include or Exclude]], 0,4)</f>
        <v/>
      </c>
      <c r="AB100" s="187" t="str" cm="1">
        <f t="array" ref="AB100">Common_InputFunctions.Utility_DisplayArrayInTable(Fertiliser_SourceData.Fertiliser_Products_Data1(),FertiliserProducts[[#Headers],[Include or Exclude]], 0,4)</f>
        <v/>
      </c>
      <c r="AC100" s="187" t="str" cm="1">
        <f t="array" ref="AC100">Common_InputFunctions.Utility_DisplayArrayInTable(Fertiliser_SourceData.Fertiliser_Products_Data1(),FertiliserProducts[[#Headers],[Include or Exclude]], 0,4)</f>
        <v/>
      </c>
      <c r="AD100" s="187" t="str" cm="1">
        <f t="array" ref="AD100">Common_InputFunctions.Utility_DisplayArrayInTable(Fertiliser_SourceData.Fertiliser_Products_Data1(),FertiliserProducts[[#Headers],[Include or Exclude]], 0,4)</f>
        <v/>
      </c>
      <c r="AE100" s="187" t="str" cm="1">
        <f t="array" ref="AE100">Common_InputFunctions.Utility_DisplayArrayInTable(Fertiliser_SourceData.Fertiliser_Products_Data1(),FertiliserProducts[[#Headers],[Include or Exclude]], 0,4)</f>
        <v/>
      </c>
    </row>
    <row r="101" spans="4:31" ht="20.100000000000001" customHeight="1" x14ac:dyDescent="0.25">
      <c r="D101" s="187" t="str" cm="1">
        <f t="array" ref="D101">Common_InputFunctions.Utility_DisplayArrayInTable(Fertiliser_SourceData.Fertiliser_Products_Data1(),FertiliserProducts[[#Headers],[Include or Exclude]], -1)</f>
        <v>Exclude - Not relevant</v>
      </c>
      <c r="E101" s="187" t="str" cm="1">
        <f t="array" ref="E101">Common_InputFunctions.Utility_DisplayArrayInTable(Fertiliser_SourceData.Fertiliser_Products_Data1(),FertiliserProducts[[#Headers],[Include or Exclude]], 0)</f>
        <v/>
      </c>
      <c r="F101" s="187" t="str" cm="1">
        <f t="array" ref="F101">Common_InputFunctions.Utility_DisplayArrayInTable(Fertiliser_SourceData.Fertiliser_Products_Data1(),FertiliserProducts[[#Headers],[Include or Exclude]], 0)</f>
        <v>Campbells fertilisers Australia</v>
      </c>
      <c r="G101" s="187" t="str" cm="1">
        <f t="array" ref="G101">Common_InputFunctions.Utility_DisplayArrayInTable(Fertiliser_SourceData.Fertiliser_Products_Data1(),FertiliserProducts[[#Headers],[Include or Exclude]], 0)</f>
        <v>Asco Plus</v>
      </c>
      <c r="H101" s="187" t="str" cm="1">
        <f t="array" ref="H101">Common_InputFunctions.Utility_DisplayArrayInTable(Fertiliser_SourceData.Fertiliser_Products_Data1(),FertiliserProducts[[#Headers],[Include or Exclude]], 0,4)</f>
        <v/>
      </c>
      <c r="I101" s="187" t="str" cm="1">
        <f t="array" ref="I101">Common_InputFunctions.Utility_DisplayArrayInTable(Fertiliser_SourceData.Fertiliser_Products_Data1(),FertiliserProducts[[#Headers],[Include or Exclude]], 0,4)</f>
        <v/>
      </c>
      <c r="J101" s="187" t="str" cm="1">
        <f t="array" ref="J101">Common_InputFunctions.Utility_DisplayArrayInTable(Fertiliser_SourceData.Fertiliser_Products_Data1(),FertiliserProducts[[#Headers],[Include or Exclude]], 0,4)</f>
        <v/>
      </c>
      <c r="K101" s="187" t="str" cm="1">
        <f t="array" ref="K101">Common_InputFunctions.Utility_DisplayArrayInTable(Fertiliser_SourceData.Fertiliser_Products_Data1(),FertiliserProducts[[#Headers],[Include or Exclude]], 0,4)</f>
        <v/>
      </c>
      <c r="L101" s="187" t="str" cm="1">
        <f t="array" ref="L101">Common_InputFunctions.Utility_DisplayArrayInTable(Fertiliser_SourceData.Fertiliser_Products_Data1(),FertiliserProducts[[#Headers],[Include or Exclude]], 0,4)</f>
        <v/>
      </c>
      <c r="M101" s="187" t="str" cm="1">
        <f t="array" ref="M101">Common_InputFunctions.Utility_DisplayArrayInTable(Fertiliser_SourceData.Fertiliser_Products_Data1(),FertiliserProducts[[#Headers],[Include or Exclude]], 0,4)</f>
        <v/>
      </c>
      <c r="N101" s="187" t="str" cm="1">
        <f t="array" ref="N101">Common_InputFunctions.Utility_DisplayArrayInTable(Fertiliser_SourceData.Fertiliser_Products_Data1(),FertiliserProducts[[#Headers],[Include or Exclude]], 0,4)</f>
        <v/>
      </c>
      <c r="O101" s="187" t="str" cm="1">
        <f t="array" ref="O101">Common_InputFunctions.Utility_DisplayArrayInTable(Fertiliser_SourceData.Fertiliser_Products_Data1(),FertiliserProducts[[#Headers],[Include or Exclude]], 0,4)</f>
        <v/>
      </c>
      <c r="P101" s="187" t="str" cm="1">
        <f t="array" ref="P101">Common_InputFunctions.Utility_DisplayArrayInTable(Fertiliser_SourceData.Fertiliser_Products_Data1(),FertiliserProducts[[#Headers],[Include or Exclude]], 0,4)</f>
        <v/>
      </c>
      <c r="Q101" s="187" t="str" cm="1">
        <f t="array" ref="Q101">Common_InputFunctions.Utility_DisplayArrayInTable(Fertiliser_SourceData.Fertiliser_Products_Data1(),FertiliserProducts[[#Headers],[Include or Exclude]], 0,4)</f>
        <v/>
      </c>
      <c r="R101" s="187" t="str" cm="1">
        <f t="array" ref="R101">Common_InputFunctions.Utility_DisplayArrayInTable(Fertiliser_SourceData.Fertiliser_Products_Data1(),FertiliserProducts[[#Headers],[Include or Exclude]], 0,4)</f>
        <v/>
      </c>
      <c r="S101" s="187" t="str" cm="1">
        <f t="array" ref="S101">Common_InputFunctions.Utility_DisplayArrayInTable(Fertiliser_SourceData.Fertiliser_Products_Data1(),FertiliserProducts[[#Headers],[Include or Exclude]], 0,4)</f>
        <v/>
      </c>
      <c r="T101" s="187" t="str" cm="1">
        <f t="array" ref="T101">Common_InputFunctions.Utility_DisplayArrayInTable(Fertiliser_SourceData.Fertiliser_Products_Data1(),FertiliserProducts[[#Headers],[Include or Exclude]], 0,4)</f>
        <v/>
      </c>
      <c r="U101" s="187" t="str" cm="1">
        <f t="array" ref="U101">Common_InputFunctions.Utility_DisplayArrayInTable(Fertiliser_SourceData.Fertiliser_Products_Data1(),FertiliserProducts[[#Headers],[Include or Exclude]], 0,4)</f>
        <v/>
      </c>
      <c r="V101" s="187" t="str" cm="1">
        <f t="array" ref="V101">Common_InputFunctions.Utility_DisplayArrayInTable(Fertiliser_SourceData.Fertiliser_Products_Data1(),FertiliserProducts[[#Headers],[Include or Exclude]], 0,4)</f>
        <v/>
      </c>
      <c r="W101" s="187" t="str" cm="1">
        <f t="array" ref="W101">Common_InputFunctions.Utility_DisplayArrayInTable(Fertiliser_SourceData.Fertiliser_Products_Data1(),FertiliserProducts[[#Headers],[Include or Exclude]], 0,4)</f>
        <v/>
      </c>
      <c r="X101" s="187" t="str" cm="1">
        <f t="array" ref="X101">Common_InputFunctions.Utility_DisplayArrayInTable(Fertiliser_SourceData.Fertiliser_Products_Data1(),FertiliserProducts[[#Headers],[Include or Exclude]], 0,4)</f>
        <v/>
      </c>
      <c r="Y101" s="187" t="str" cm="1">
        <f t="array" ref="Y101">Common_InputFunctions.Utility_DisplayArrayInTable(Fertiliser_SourceData.Fertiliser_Products_Data1(),FertiliserProducts[[#Headers],[Include or Exclude]], 0,4)</f>
        <v/>
      </c>
      <c r="Z101" s="187" t="str" cm="1">
        <f t="array" ref="Z101">Common_InputFunctions.Utility_DisplayArrayInTable(Fertiliser_SourceData.Fertiliser_Products_Data1(),FertiliserProducts[[#Headers],[Include or Exclude]], 0,4)</f>
        <v/>
      </c>
      <c r="AA101" s="187" t="str" cm="1">
        <f t="array" ref="AA101">Common_InputFunctions.Utility_DisplayArrayInTable(Fertiliser_SourceData.Fertiliser_Products_Data1(),FertiliserProducts[[#Headers],[Include or Exclude]], 0,4)</f>
        <v/>
      </c>
      <c r="AB101" s="187" t="str" cm="1">
        <f t="array" ref="AB101">Common_InputFunctions.Utility_DisplayArrayInTable(Fertiliser_SourceData.Fertiliser_Products_Data1(),FertiliserProducts[[#Headers],[Include or Exclude]], 0,4)</f>
        <v/>
      </c>
      <c r="AC101" s="187" t="str" cm="1">
        <f t="array" ref="AC101">Common_InputFunctions.Utility_DisplayArrayInTable(Fertiliser_SourceData.Fertiliser_Products_Data1(),FertiliserProducts[[#Headers],[Include or Exclude]], 0,4)</f>
        <v/>
      </c>
      <c r="AD101" s="187" t="str" cm="1">
        <f t="array" ref="AD101">Common_InputFunctions.Utility_DisplayArrayInTable(Fertiliser_SourceData.Fertiliser_Products_Data1(),FertiliserProducts[[#Headers],[Include or Exclude]], 0,4)</f>
        <v/>
      </c>
      <c r="AE101" s="187" t="str" cm="1">
        <f t="array" ref="AE101">Common_InputFunctions.Utility_DisplayArrayInTable(Fertiliser_SourceData.Fertiliser_Products_Data1(),FertiliserProducts[[#Headers],[Include or Exclude]], 0,4)</f>
        <v/>
      </c>
    </row>
    <row r="102" spans="4:31" ht="20.100000000000001" customHeight="1" x14ac:dyDescent="0.25">
      <c r="D102" s="187" t="str" cm="1">
        <f t="array" ref="D102">Common_InputFunctions.Utility_DisplayArrayInTable(Fertiliser_SourceData.Fertiliser_Products_Data1(),FertiliserProducts[[#Headers],[Include or Exclude]], -1)</f>
        <v>Exclude - Not relevant</v>
      </c>
      <c r="E102" s="187" t="str" cm="1">
        <f t="array" ref="E102">Common_InputFunctions.Utility_DisplayArrayInTable(Fertiliser_SourceData.Fertiliser_Products_Data1(),FertiliserProducts[[#Headers],[Include or Exclude]], 0)</f>
        <v/>
      </c>
      <c r="F102" s="187" t="str" cm="1">
        <f t="array" ref="F102">Common_InputFunctions.Utility_DisplayArrayInTable(Fertiliser_SourceData.Fertiliser_Products_Data1(),FertiliserProducts[[#Headers],[Include or Exclude]], 0)</f>
        <v>Campbells fertilisers Australia</v>
      </c>
      <c r="G102" s="187" t="str" cm="1">
        <f t="array" ref="G102">Common_InputFunctions.Utility_DisplayArrayInTable(Fertiliser_SourceData.Fertiliser_Products_Data1(),FertiliserProducts[[#Headers],[Include or Exclude]], 0)</f>
        <v>Asco Rhizo Plus</v>
      </c>
      <c r="H102" s="187" t="str" cm="1">
        <f t="array" ref="H102">Common_InputFunctions.Utility_DisplayArrayInTable(Fertiliser_SourceData.Fertiliser_Products_Data1(),FertiliserProducts[[#Headers],[Include or Exclude]], 0,4)</f>
        <v/>
      </c>
      <c r="I102" s="187" t="str" cm="1">
        <f t="array" ref="I102">Common_InputFunctions.Utility_DisplayArrayInTable(Fertiliser_SourceData.Fertiliser_Products_Data1(),FertiliserProducts[[#Headers],[Include or Exclude]], 0,4)</f>
        <v/>
      </c>
      <c r="J102" s="187" t="str" cm="1">
        <f t="array" ref="J102">Common_InputFunctions.Utility_DisplayArrayInTable(Fertiliser_SourceData.Fertiliser_Products_Data1(),FertiliserProducts[[#Headers],[Include or Exclude]], 0,4)</f>
        <v/>
      </c>
      <c r="K102" s="187" t="str" cm="1">
        <f t="array" ref="K102">Common_InputFunctions.Utility_DisplayArrayInTable(Fertiliser_SourceData.Fertiliser_Products_Data1(),FertiliserProducts[[#Headers],[Include or Exclude]], 0,4)</f>
        <v/>
      </c>
      <c r="L102" s="187" t="str" cm="1">
        <f t="array" ref="L102">Common_InputFunctions.Utility_DisplayArrayInTable(Fertiliser_SourceData.Fertiliser_Products_Data1(),FertiliserProducts[[#Headers],[Include or Exclude]], 0,4)</f>
        <v/>
      </c>
      <c r="M102" s="187" t="str" cm="1">
        <f t="array" ref="M102">Common_InputFunctions.Utility_DisplayArrayInTable(Fertiliser_SourceData.Fertiliser_Products_Data1(),FertiliserProducts[[#Headers],[Include or Exclude]], 0,4)</f>
        <v/>
      </c>
      <c r="N102" s="187" t="str" cm="1">
        <f t="array" ref="N102">Common_InputFunctions.Utility_DisplayArrayInTable(Fertiliser_SourceData.Fertiliser_Products_Data1(),FertiliserProducts[[#Headers],[Include or Exclude]], 0,4)</f>
        <v/>
      </c>
      <c r="O102" s="187" t="str" cm="1">
        <f t="array" ref="O102">Common_InputFunctions.Utility_DisplayArrayInTable(Fertiliser_SourceData.Fertiliser_Products_Data1(),FertiliserProducts[[#Headers],[Include or Exclude]], 0,4)</f>
        <v/>
      </c>
      <c r="P102" s="187" t="str" cm="1">
        <f t="array" ref="P102">Common_InputFunctions.Utility_DisplayArrayInTable(Fertiliser_SourceData.Fertiliser_Products_Data1(),FertiliserProducts[[#Headers],[Include or Exclude]], 0,4)</f>
        <v/>
      </c>
      <c r="Q102" s="187" t="str" cm="1">
        <f t="array" ref="Q102">Common_InputFunctions.Utility_DisplayArrayInTable(Fertiliser_SourceData.Fertiliser_Products_Data1(),FertiliserProducts[[#Headers],[Include or Exclude]], 0,4)</f>
        <v/>
      </c>
      <c r="R102" s="187" t="str" cm="1">
        <f t="array" ref="R102">Common_InputFunctions.Utility_DisplayArrayInTable(Fertiliser_SourceData.Fertiliser_Products_Data1(),FertiliserProducts[[#Headers],[Include or Exclude]], 0,4)</f>
        <v/>
      </c>
      <c r="S102" s="187" t="str" cm="1">
        <f t="array" ref="S102">Common_InputFunctions.Utility_DisplayArrayInTable(Fertiliser_SourceData.Fertiliser_Products_Data1(),FertiliserProducts[[#Headers],[Include or Exclude]], 0,4)</f>
        <v/>
      </c>
      <c r="T102" s="187" t="str" cm="1">
        <f t="array" ref="T102">Common_InputFunctions.Utility_DisplayArrayInTable(Fertiliser_SourceData.Fertiliser_Products_Data1(),FertiliserProducts[[#Headers],[Include or Exclude]], 0,4)</f>
        <v/>
      </c>
      <c r="U102" s="187" t="str" cm="1">
        <f t="array" ref="U102">Common_InputFunctions.Utility_DisplayArrayInTable(Fertiliser_SourceData.Fertiliser_Products_Data1(),FertiliserProducts[[#Headers],[Include or Exclude]], 0,4)</f>
        <v/>
      </c>
      <c r="V102" s="187" t="str" cm="1">
        <f t="array" ref="V102">Common_InputFunctions.Utility_DisplayArrayInTable(Fertiliser_SourceData.Fertiliser_Products_Data1(),FertiliserProducts[[#Headers],[Include or Exclude]], 0,4)</f>
        <v/>
      </c>
      <c r="W102" s="187" t="str" cm="1">
        <f t="array" ref="W102">Common_InputFunctions.Utility_DisplayArrayInTable(Fertiliser_SourceData.Fertiliser_Products_Data1(),FertiliserProducts[[#Headers],[Include or Exclude]], 0,4)</f>
        <v/>
      </c>
      <c r="X102" s="187" t="str" cm="1">
        <f t="array" ref="X102">Common_InputFunctions.Utility_DisplayArrayInTable(Fertiliser_SourceData.Fertiliser_Products_Data1(),FertiliserProducts[[#Headers],[Include or Exclude]], 0,4)</f>
        <v/>
      </c>
      <c r="Y102" s="187" t="str" cm="1">
        <f t="array" ref="Y102">Common_InputFunctions.Utility_DisplayArrayInTable(Fertiliser_SourceData.Fertiliser_Products_Data1(),FertiliserProducts[[#Headers],[Include or Exclude]], 0,4)</f>
        <v/>
      </c>
      <c r="Z102" s="187" t="str" cm="1">
        <f t="array" ref="Z102">Common_InputFunctions.Utility_DisplayArrayInTable(Fertiliser_SourceData.Fertiliser_Products_Data1(),FertiliserProducts[[#Headers],[Include or Exclude]], 0,4)</f>
        <v/>
      </c>
      <c r="AA102" s="187" t="str" cm="1">
        <f t="array" ref="AA102">Common_InputFunctions.Utility_DisplayArrayInTable(Fertiliser_SourceData.Fertiliser_Products_Data1(),FertiliserProducts[[#Headers],[Include or Exclude]], 0,4)</f>
        <v/>
      </c>
      <c r="AB102" s="187" t="str" cm="1">
        <f t="array" ref="AB102">Common_InputFunctions.Utility_DisplayArrayInTable(Fertiliser_SourceData.Fertiliser_Products_Data1(),FertiliserProducts[[#Headers],[Include or Exclude]], 0,4)</f>
        <v/>
      </c>
      <c r="AC102" s="187" t="str" cm="1">
        <f t="array" ref="AC102">Common_InputFunctions.Utility_DisplayArrayInTable(Fertiliser_SourceData.Fertiliser_Products_Data1(),FertiliserProducts[[#Headers],[Include or Exclude]], 0,4)</f>
        <v/>
      </c>
      <c r="AD102" s="187" t="str" cm="1">
        <f t="array" ref="AD102">Common_InputFunctions.Utility_DisplayArrayInTable(Fertiliser_SourceData.Fertiliser_Products_Data1(),FertiliserProducts[[#Headers],[Include or Exclude]], 0,4)</f>
        <v/>
      </c>
      <c r="AE102" s="187" t="str" cm="1">
        <f t="array" ref="AE102">Common_InputFunctions.Utility_DisplayArrayInTable(Fertiliser_SourceData.Fertiliser_Products_Data1(),FertiliserProducts[[#Headers],[Include or Exclude]], 0,4)</f>
        <v/>
      </c>
    </row>
    <row r="103" spans="4:31" ht="20.100000000000001" customHeight="1" x14ac:dyDescent="0.25">
      <c r="D103" s="187" t="str" cm="1">
        <f t="array" ref="D103">Common_InputFunctions.Utility_DisplayArrayInTable(Fertiliser_SourceData.Fertiliser_Products_Data1(),FertiliserProducts[[#Headers],[Include or Exclude]], -1)</f>
        <v>Include - Absent ingredients &lt; 2%</v>
      </c>
      <c r="E103" s="187" t="str" cm="1">
        <f t="array" ref="E103">Common_InputFunctions.Utility_DisplayArrayInTable(Fertiliser_SourceData.Fertiliser_Products_Data1(),FertiliserProducts[[#Headers],[Include or Exclude]], 0)</f>
        <v/>
      </c>
      <c r="F103" s="187" t="str" cm="1">
        <f t="array" ref="F103">Common_InputFunctions.Utility_DisplayArrayInTable(Fertiliser_SourceData.Fertiliser_Products_Data1(),FertiliserProducts[[#Headers],[Include or Exclude]], 0)</f>
        <v>Campbells fertilisers Australia</v>
      </c>
      <c r="G103" s="187" t="str" cm="1">
        <f t="array" ref="G103">Common_InputFunctions.Utility_DisplayArrayInTable(Fertiliser_SourceData.Fertiliser_Products_Data1(),FertiliserProducts[[#Headers],[Include or Exclude]], 0)</f>
        <v>Benefit PZ</v>
      </c>
      <c r="H103" s="187" t="str" cm="1">
        <f t="array" ref="H103">Common_InputFunctions.Utility_DisplayArrayInTable(Fertiliser_SourceData.Fertiliser_Products_Data1(),FertiliserProducts[[#Headers],[Include or Exclude]], 0,4)</f>
        <v/>
      </c>
      <c r="I103" s="187" t="str" cm="1">
        <f t="array" ref="I103">Common_InputFunctions.Utility_DisplayArrayInTable(Fertiliser_SourceData.Fertiliser_Products_Data1(),FertiliserProducts[[#Headers],[Include or Exclude]], 0,4)</f>
        <v/>
      </c>
      <c r="J103" s="187" t="str" cm="1">
        <f t="array" ref="J103">Common_InputFunctions.Utility_DisplayArrayInTable(Fertiliser_SourceData.Fertiliser_Products_Data1(),FertiliserProducts[[#Headers],[Include or Exclude]], 0,4)</f>
        <v/>
      </c>
      <c r="K103" s="187" t="str" cm="1">
        <f t="array" ref="K103">Common_InputFunctions.Utility_DisplayArrayInTable(Fertiliser_SourceData.Fertiliser_Products_Data1(),FertiliserProducts[[#Headers],[Include or Exclude]], 0,4)</f>
        <v/>
      </c>
      <c r="L103" s="187" t="str" cm="1">
        <f t="array" ref="L103">Common_InputFunctions.Utility_DisplayArrayInTable(Fertiliser_SourceData.Fertiliser_Products_Data1(),FertiliserProducts[[#Headers],[Include or Exclude]], 0,4)</f>
        <v/>
      </c>
      <c r="M103" s="187" t="str" cm="1">
        <f t="array" ref="M103">Common_InputFunctions.Utility_DisplayArrayInTable(Fertiliser_SourceData.Fertiliser_Products_Data1(),FertiliserProducts[[#Headers],[Include or Exclude]], 0,4)</f>
        <v/>
      </c>
      <c r="N103" s="187" t="str" cm="1">
        <f t="array" ref="N103">Common_InputFunctions.Utility_DisplayArrayInTable(Fertiliser_SourceData.Fertiliser_Products_Data1(),FertiliserProducts[[#Headers],[Include or Exclude]], 0,4)</f>
        <v/>
      </c>
      <c r="O103" s="187" t="str" cm="1">
        <f t="array" ref="O103">Common_InputFunctions.Utility_DisplayArrayInTable(Fertiliser_SourceData.Fertiliser_Products_Data1(),FertiliserProducts[[#Headers],[Include or Exclude]], 0,4)</f>
        <v/>
      </c>
      <c r="P103" s="187" t="str" cm="1">
        <f t="array" ref="P103">Common_InputFunctions.Utility_DisplayArrayInTable(Fertiliser_SourceData.Fertiliser_Products_Data1(),FertiliserProducts[[#Headers],[Include or Exclude]], 0,4)</f>
        <v/>
      </c>
      <c r="Q103" s="187" t="str" cm="1">
        <f t="array" ref="Q103">Common_InputFunctions.Utility_DisplayArrayInTable(Fertiliser_SourceData.Fertiliser_Products_Data1(),FertiliserProducts[[#Headers],[Include or Exclude]], 0,4)</f>
        <v/>
      </c>
      <c r="R103" s="187" t="str" cm="1">
        <f t="array" ref="R103">Common_InputFunctions.Utility_DisplayArrayInTable(Fertiliser_SourceData.Fertiliser_Products_Data1(),FertiliserProducts[[#Headers],[Include or Exclude]], 0,4)</f>
        <v/>
      </c>
      <c r="S103" s="187" t="str" cm="1">
        <f t="array" ref="S103">Common_InputFunctions.Utility_DisplayArrayInTable(Fertiliser_SourceData.Fertiliser_Products_Data1(),FertiliserProducts[[#Headers],[Include or Exclude]], 0,4)</f>
        <v/>
      </c>
      <c r="T103" s="187" t="str" cm="1">
        <f t="array" ref="T103">Common_InputFunctions.Utility_DisplayArrayInTable(Fertiliser_SourceData.Fertiliser_Products_Data1(),FertiliserProducts[[#Headers],[Include or Exclude]], 0,4)</f>
        <v/>
      </c>
      <c r="U103" s="187" t="str" cm="1">
        <f t="array" ref="U103">Common_InputFunctions.Utility_DisplayArrayInTable(Fertiliser_SourceData.Fertiliser_Products_Data1(),FertiliserProducts[[#Headers],[Include or Exclude]], 0,4)</f>
        <v/>
      </c>
      <c r="V103" s="187" t="str" cm="1">
        <f t="array" ref="V103">Common_InputFunctions.Utility_DisplayArrayInTable(Fertiliser_SourceData.Fertiliser_Products_Data1(),FertiliserProducts[[#Headers],[Include or Exclude]], 0,4)</f>
        <v/>
      </c>
      <c r="W103" s="187" t="str" cm="1">
        <f t="array" ref="W103">Common_InputFunctions.Utility_DisplayArrayInTable(Fertiliser_SourceData.Fertiliser_Products_Data1(),FertiliserProducts[[#Headers],[Include or Exclude]], 0,4)</f>
        <v/>
      </c>
      <c r="X103" s="187" t="str" cm="1">
        <f t="array" ref="X103">Common_InputFunctions.Utility_DisplayArrayInTable(Fertiliser_SourceData.Fertiliser_Products_Data1(),FertiliserProducts[[#Headers],[Include or Exclude]], 0,4)</f>
        <v/>
      </c>
      <c r="Y103" s="187" t="str" cm="1">
        <f t="array" ref="Y103">Common_InputFunctions.Utility_DisplayArrayInTable(Fertiliser_SourceData.Fertiliser_Products_Data1(),FertiliserProducts[[#Headers],[Include or Exclude]], 0,4)</f>
        <v/>
      </c>
      <c r="Z103" s="187" t="str" cm="1">
        <f t="array" ref="Z103">Common_InputFunctions.Utility_DisplayArrayInTable(Fertiliser_SourceData.Fertiliser_Products_Data1(),FertiliserProducts[[#Headers],[Include or Exclude]], 0,4)</f>
        <v/>
      </c>
      <c r="AA103" s="187" t="str" cm="1">
        <f t="array" ref="AA103">Common_InputFunctions.Utility_DisplayArrayInTable(Fertiliser_SourceData.Fertiliser_Products_Data1(),FertiliserProducts[[#Headers],[Include or Exclude]], 0,4)</f>
        <v/>
      </c>
      <c r="AB103" s="187" t="str" cm="1">
        <f t="array" ref="AB103">Common_InputFunctions.Utility_DisplayArrayInTable(Fertiliser_SourceData.Fertiliser_Products_Data1(),FertiliserProducts[[#Headers],[Include or Exclude]], 0,4)</f>
        <v/>
      </c>
      <c r="AC103" s="187" t="str" cm="1">
        <f t="array" ref="AC103">Common_InputFunctions.Utility_DisplayArrayInTable(Fertiliser_SourceData.Fertiliser_Products_Data1(),FertiliserProducts[[#Headers],[Include or Exclude]], 0,4)</f>
        <v/>
      </c>
      <c r="AD103" s="187" t="str" cm="1">
        <f t="array" ref="AD103">Common_InputFunctions.Utility_DisplayArrayInTable(Fertiliser_SourceData.Fertiliser_Products_Data1(),FertiliserProducts[[#Headers],[Include or Exclude]], 0,4)</f>
        <v/>
      </c>
      <c r="AE103" s="187" t="str" cm="1">
        <f t="array" ref="AE103">Common_InputFunctions.Utility_DisplayArrayInTable(Fertiliser_SourceData.Fertiliser_Products_Data1(),FertiliserProducts[[#Headers],[Include or Exclude]], 0,4)</f>
        <v/>
      </c>
    </row>
    <row r="104" spans="4:31" ht="20.100000000000001" customHeight="1" x14ac:dyDescent="0.25">
      <c r="D104" s="187" t="str" cm="1">
        <f t="array" ref="D104">Common_InputFunctions.Utility_DisplayArrayInTable(Fertiliser_SourceData.Fertiliser_Products_Data1(),FertiliserProducts[[#Headers],[Include or Exclude]], -1)</f>
        <v>Exclude - Not relevant</v>
      </c>
      <c r="E104" s="187" t="str" cm="1">
        <f t="array" ref="E104">Common_InputFunctions.Utility_DisplayArrayInTable(Fertiliser_SourceData.Fertiliser_Products_Data1(),FertiliserProducts[[#Headers],[Include or Exclude]], 0)</f>
        <v>Amount of urea calculated from urea nitrogen amount</v>
      </c>
      <c r="F104" s="187" t="str" cm="1">
        <f t="array" ref="F104">Common_InputFunctions.Utility_DisplayArrayInTable(Fertiliser_SourceData.Fertiliser_Products_Data1(),FertiliserProducts[[#Headers],[Include or Exclude]], 0)</f>
        <v>Campbells fertilisers Australia</v>
      </c>
      <c r="G104" s="187" t="str" cm="1">
        <f t="array" ref="G104">Common_InputFunctions.Utility_DisplayArrayInTable(Fertiliser_SourceData.Fertiliser_Products_Data1(),FertiliserProducts[[#Headers],[Include or Exclude]], 0)</f>
        <v>Boost-It</v>
      </c>
      <c r="H104" s="187" t="str" cm="1">
        <f t="array" ref="H104">Common_InputFunctions.Utility_DisplayArrayInTable(Fertiliser_SourceData.Fertiliser_Products_Data1(),FertiliserProducts[[#Headers],[Include or Exclude]], 0,4)</f>
        <v>kg</v>
      </c>
      <c r="I104" s="187" cm="1">
        <f t="array" ref="I104">Common_InputFunctions.Utility_DisplayArrayInTable(Fertiliser_SourceData.Fertiliser_Products_Data1(),FertiliserProducts[[#Headers],[Include or Exclude]], 0,4)</f>
        <v>1</v>
      </c>
      <c r="J104" s="187" t="str" cm="1">
        <f t="array" ref="J104">Common_InputFunctions.Utility_DisplayArrayInTable(Fertiliser_SourceData.Fertiliser_Products_Data1(),FertiliserProducts[[#Headers],[Include or Exclude]], 0,4)</f>
        <v/>
      </c>
      <c r="K104" s="187" t="str" cm="1">
        <f t="array" ref="K104">Common_InputFunctions.Utility_DisplayArrayInTable(Fertiliser_SourceData.Fertiliser_Products_Data1(),FertiliserProducts[[#Headers],[Include or Exclude]], 0,4)</f>
        <v/>
      </c>
      <c r="L104" s="187" t="str" cm="1">
        <f t="array" ref="L104">Common_InputFunctions.Utility_DisplayArrayInTable(Fertiliser_SourceData.Fertiliser_Products_Data1(),FertiliserProducts[[#Headers],[Include or Exclude]], 0,4)</f>
        <v>Urea</v>
      </c>
      <c r="M104" s="187" cm="1">
        <f t="array" ref="M104">Common_InputFunctions.Utility_DisplayArrayInTable(Fertiliser_SourceData.Fertiliser_Products_Data1(),FertiliserProducts[[#Headers],[Include or Exclude]], 0,4)</f>
        <v>0.52173913000000005</v>
      </c>
      <c r="N104" s="187" t="str" cm="1">
        <f t="array" ref="N104">Common_InputFunctions.Utility_DisplayArrayInTable(Fertiliser_SourceData.Fertiliser_Products_Data1(),FertiliserProducts[[#Headers],[Include or Exclude]], 0,4)</f>
        <v>Potassium - Generic</v>
      </c>
      <c r="O104" s="187" cm="1">
        <f t="array" ref="O104">Common_InputFunctions.Utility_DisplayArrayInTable(Fertiliser_SourceData.Fertiliser_Products_Data1(),FertiliserProducts[[#Headers],[Include or Exclude]], 0,4)</f>
        <v>0.08</v>
      </c>
      <c r="P104" s="187" t="str" cm="1">
        <f t="array" ref="P104">Common_InputFunctions.Utility_DisplayArrayInTable(Fertiliser_SourceData.Fertiliser_Products_Data1(),FertiliserProducts[[#Headers],[Include or Exclude]], 0,4)</f>
        <v>Sulfur - Generic</v>
      </c>
      <c r="Q104" s="187" cm="1">
        <f t="array" ref="Q104">Common_InputFunctions.Utility_DisplayArrayInTable(Fertiliser_SourceData.Fertiliser_Products_Data1(),FertiliserProducts[[#Headers],[Include or Exclude]], 0,4)</f>
        <v>5.2999999999999999E-2</v>
      </c>
      <c r="R104" s="187" t="str" cm="1">
        <f t="array" ref="R104">Common_InputFunctions.Utility_DisplayArrayInTable(Fertiliser_SourceData.Fertiliser_Products_Data1(),FertiliserProducts[[#Headers],[Include or Exclude]], 0,4)</f>
        <v>Phosphorus - Generic</v>
      </c>
      <c r="S104" s="187" cm="1">
        <f t="array" ref="S104">Common_InputFunctions.Utility_DisplayArrayInTable(Fertiliser_SourceData.Fertiliser_Products_Data1(),FertiliserProducts[[#Headers],[Include or Exclude]], 0,4)</f>
        <v>5.1999999999999998E-2</v>
      </c>
      <c r="T104" s="187" t="str" cm="1">
        <f t="array" ref="T104">Common_InputFunctions.Utility_DisplayArrayInTable(Fertiliser_SourceData.Fertiliser_Products_Data1(),FertiliserProducts[[#Headers],[Include or Exclude]], 0,4)</f>
        <v>Magnesium</v>
      </c>
      <c r="U104" s="187" cm="1">
        <f t="array" ref="U104">Common_InputFunctions.Utility_DisplayArrayInTable(Fertiliser_SourceData.Fertiliser_Products_Data1(),FertiliserProducts[[#Headers],[Include or Exclude]], 0,4)</f>
        <v>1.2999999999999999E-2</v>
      </c>
      <c r="V104" s="187" t="str" cm="1">
        <f t="array" ref="V104">Common_InputFunctions.Utility_DisplayArrayInTable(Fertiliser_SourceData.Fertiliser_Products_Data1(),FertiliserProducts[[#Headers],[Include or Exclude]], 0,4)</f>
        <v>Zinc</v>
      </c>
      <c r="W104" s="187" cm="1">
        <f t="array" ref="W104">Common_InputFunctions.Utility_DisplayArrayInTable(Fertiliser_SourceData.Fertiliser_Products_Data1(),FertiliserProducts[[#Headers],[Include or Exclude]], 0,4)</f>
        <v>2E-3</v>
      </c>
      <c r="X104" s="187" t="str" cm="1">
        <f t="array" ref="X104">Common_InputFunctions.Utility_DisplayArrayInTable(Fertiliser_SourceData.Fertiliser_Products_Data1(),FertiliserProducts[[#Headers],[Include or Exclude]], 0,4)</f>
        <v>Manganese</v>
      </c>
      <c r="Y104" s="187" cm="1">
        <f t="array" ref="Y104">Common_InputFunctions.Utility_DisplayArrayInTable(Fertiliser_SourceData.Fertiliser_Products_Data1(),FertiliserProducts[[#Headers],[Include or Exclude]], 0,4)</f>
        <v>3.5000000000000001E-3</v>
      </c>
      <c r="Z104" s="187" t="str" cm="1">
        <f t="array" ref="Z104">Common_InputFunctions.Utility_DisplayArrayInTable(Fertiliser_SourceData.Fertiliser_Products_Data1(),FertiliserProducts[[#Headers],[Include or Exclude]], 0,4)</f>
        <v>Iron</v>
      </c>
      <c r="AA104" s="187" cm="1">
        <f t="array" ref="AA104">Common_InputFunctions.Utility_DisplayArrayInTable(Fertiliser_SourceData.Fertiliser_Products_Data1(),FertiliserProducts[[#Headers],[Include or Exclude]], 0,4)</f>
        <v>1.2999999999999999E-3</v>
      </c>
      <c r="AB104" s="187" t="str" cm="1">
        <f t="array" ref="AB104">Common_InputFunctions.Utility_DisplayArrayInTable(Fertiliser_SourceData.Fertiliser_Products_Data1(),FertiliserProducts[[#Headers],[Include or Exclude]], 0,4)</f>
        <v>Copper</v>
      </c>
      <c r="AC104" s="187" cm="1">
        <f t="array" ref="AC104">Common_InputFunctions.Utility_DisplayArrayInTable(Fertiliser_SourceData.Fertiliser_Products_Data1(),FertiliserProducts[[#Headers],[Include or Exclude]], 0,4)</f>
        <v>6.9999999999999999E-4</v>
      </c>
      <c r="AD104" s="187" t="str" cm="1">
        <f t="array" ref="AD104">Common_InputFunctions.Utility_DisplayArrayInTable(Fertiliser_SourceData.Fertiliser_Products_Data1(),FertiliserProducts[[#Headers],[Include or Exclude]], 0,4)</f>
        <v>Boron</v>
      </c>
      <c r="AE104" s="187" cm="1">
        <f t="array" ref="AE104">Common_InputFunctions.Utility_DisplayArrayInTable(Fertiliser_SourceData.Fertiliser_Products_Data1(),FertiliserProducts[[#Headers],[Include or Exclude]], 0,4)</f>
        <v>6.9999999999999999E-4</v>
      </c>
    </row>
    <row r="105" spans="4:31" ht="20.100000000000001" customHeight="1" x14ac:dyDescent="0.25">
      <c r="D105" s="187" t="str" cm="1">
        <f t="array" ref="D105">Common_InputFunctions.Utility_DisplayArrayInTable(Fertiliser_SourceData.Fertiliser_Products_Data1(),FertiliserProducts[[#Headers],[Include or Exclude]], -1)</f>
        <v>Exclude - Not relevant</v>
      </c>
      <c r="E105" s="187" t="str" cm="1">
        <f t="array" ref="E105">Common_InputFunctions.Utility_DisplayArrayInTable(Fertiliser_SourceData.Fertiliser_Products_Data1(),FertiliserProducts[[#Headers],[Include or Exclude]], 0)</f>
        <v/>
      </c>
      <c r="F105" s="187" t="str" cm="1">
        <f t="array" ref="F105">Common_InputFunctions.Utility_DisplayArrayInTable(Fertiliser_SourceData.Fertiliser_Products_Data1(),FertiliserProducts[[#Headers],[Include or Exclude]], 0)</f>
        <v>Campbells fertilisers Australia</v>
      </c>
      <c r="G105" s="187" t="str" cm="1">
        <f t="array" ref="G105">Common_InputFunctions.Utility_DisplayArrayInTable(Fertiliser_SourceData.Fertiliser_Products_Data1(),FertiliserProducts[[#Headers],[Include or Exclude]], 0)</f>
        <v>Boroplus</v>
      </c>
      <c r="H105" s="187" t="str" cm="1">
        <f t="array" ref="H105">Common_InputFunctions.Utility_DisplayArrayInTable(Fertiliser_SourceData.Fertiliser_Products_Data1(),FertiliserProducts[[#Headers],[Include or Exclude]], 0,4)</f>
        <v/>
      </c>
      <c r="I105" s="187" t="str" cm="1">
        <f t="array" ref="I105">Common_InputFunctions.Utility_DisplayArrayInTable(Fertiliser_SourceData.Fertiliser_Products_Data1(),FertiliserProducts[[#Headers],[Include or Exclude]], 0,4)</f>
        <v/>
      </c>
      <c r="J105" s="187" t="str" cm="1">
        <f t="array" ref="J105">Common_InputFunctions.Utility_DisplayArrayInTable(Fertiliser_SourceData.Fertiliser_Products_Data1(),FertiliserProducts[[#Headers],[Include or Exclude]], 0,4)</f>
        <v/>
      </c>
      <c r="K105" s="187" t="str" cm="1">
        <f t="array" ref="K105">Common_InputFunctions.Utility_DisplayArrayInTable(Fertiliser_SourceData.Fertiliser_Products_Data1(),FertiliserProducts[[#Headers],[Include or Exclude]], 0,4)</f>
        <v/>
      </c>
      <c r="L105" s="187" t="str" cm="1">
        <f t="array" ref="L105">Common_InputFunctions.Utility_DisplayArrayInTable(Fertiliser_SourceData.Fertiliser_Products_Data1(),FertiliserProducts[[#Headers],[Include or Exclude]], 0,4)</f>
        <v/>
      </c>
      <c r="M105" s="187" t="str" cm="1">
        <f t="array" ref="M105">Common_InputFunctions.Utility_DisplayArrayInTable(Fertiliser_SourceData.Fertiliser_Products_Data1(),FertiliserProducts[[#Headers],[Include or Exclude]], 0,4)</f>
        <v/>
      </c>
      <c r="N105" s="187" t="str" cm="1">
        <f t="array" ref="N105">Common_InputFunctions.Utility_DisplayArrayInTable(Fertiliser_SourceData.Fertiliser_Products_Data1(),FertiliserProducts[[#Headers],[Include or Exclude]], 0,4)</f>
        <v/>
      </c>
      <c r="O105" s="187" t="str" cm="1">
        <f t="array" ref="O105">Common_InputFunctions.Utility_DisplayArrayInTable(Fertiliser_SourceData.Fertiliser_Products_Data1(),FertiliserProducts[[#Headers],[Include or Exclude]], 0,4)</f>
        <v/>
      </c>
      <c r="P105" s="187" t="str" cm="1">
        <f t="array" ref="P105">Common_InputFunctions.Utility_DisplayArrayInTable(Fertiliser_SourceData.Fertiliser_Products_Data1(),FertiliserProducts[[#Headers],[Include or Exclude]], 0,4)</f>
        <v/>
      </c>
      <c r="Q105" s="187" t="str" cm="1">
        <f t="array" ref="Q105">Common_InputFunctions.Utility_DisplayArrayInTable(Fertiliser_SourceData.Fertiliser_Products_Data1(),FertiliserProducts[[#Headers],[Include or Exclude]], 0,4)</f>
        <v/>
      </c>
      <c r="R105" s="187" t="str" cm="1">
        <f t="array" ref="R105">Common_InputFunctions.Utility_DisplayArrayInTable(Fertiliser_SourceData.Fertiliser_Products_Data1(),FertiliserProducts[[#Headers],[Include or Exclude]], 0,4)</f>
        <v/>
      </c>
      <c r="S105" s="187" t="str" cm="1">
        <f t="array" ref="S105">Common_InputFunctions.Utility_DisplayArrayInTable(Fertiliser_SourceData.Fertiliser_Products_Data1(),FertiliserProducts[[#Headers],[Include or Exclude]], 0,4)</f>
        <v/>
      </c>
      <c r="T105" s="187" t="str" cm="1">
        <f t="array" ref="T105">Common_InputFunctions.Utility_DisplayArrayInTable(Fertiliser_SourceData.Fertiliser_Products_Data1(),FertiliserProducts[[#Headers],[Include or Exclude]], 0,4)</f>
        <v/>
      </c>
      <c r="U105" s="187" t="str" cm="1">
        <f t="array" ref="U105">Common_InputFunctions.Utility_DisplayArrayInTable(Fertiliser_SourceData.Fertiliser_Products_Data1(),FertiliserProducts[[#Headers],[Include or Exclude]], 0,4)</f>
        <v/>
      </c>
      <c r="V105" s="187" t="str" cm="1">
        <f t="array" ref="V105">Common_InputFunctions.Utility_DisplayArrayInTable(Fertiliser_SourceData.Fertiliser_Products_Data1(),FertiliserProducts[[#Headers],[Include or Exclude]], 0,4)</f>
        <v/>
      </c>
      <c r="W105" s="187" t="str" cm="1">
        <f t="array" ref="W105">Common_InputFunctions.Utility_DisplayArrayInTable(Fertiliser_SourceData.Fertiliser_Products_Data1(),FertiliserProducts[[#Headers],[Include or Exclude]], 0,4)</f>
        <v/>
      </c>
      <c r="X105" s="187" t="str" cm="1">
        <f t="array" ref="X105">Common_InputFunctions.Utility_DisplayArrayInTable(Fertiliser_SourceData.Fertiliser_Products_Data1(),FertiliserProducts[[#Headers],[Include or Exclude]], 0,4)</f>
        <v/>
      </c>
      <c r="Y105" s="187" t="str" cm="1">
        <f t="array" ref="Y105">Common_InputFunctions.Utility_DisplayArrayInTable(Fertiliser_SourceData.Fertiliser_Products_Data1(),FertiliserProducts[[#Headers],[Include or Exclude]], 0,4)</f>
        <v/>
      </c>
      <c r="Z105" s="187" t="str" cm="1">
        <f t="array" ref="Z105">Common_InputFunctions.Utility_DisplayArrayInTable(Fertiliser_SourceData.Fertiliser_Products_Data1(),FertiliserProducts[[#Headers],[Include or Exclude]], 0,4)</f>
        <v/>
      </c>
      <c r="AA105" s="187" t="str" cm="1">
        <f t="array" ref="AA105">Common_InputFunctions.Utility_DisplayArrayInTable(Fertiliser_SourceData.Fertiliser_Products_Data1(),FertiliserProducts[[#Headers],[Include or Exclude]], 0,4)</f>
        <v/>
      </c>
      <c r="AB105" s="187" t="str" cm="1">
        <f t="array" ref="AB105">Common_InputFunctions.Utility_DisplayArrayInTable(Fertiliser_SourceData.Fertiliser_Products_Data1(),FertiliserProducts[[#Headers],[Include or Exclude]], 0,4)</f>
        <v/>
      </c>
      <c r="AC105" s="187" t="str" cm="1">
        <f t="array" ref="AC105">Common_InputFunctions.Utility_DisplayArrayInTable(Fertiliser_SourceData.Fertiliser_Products_Data1(),FertiliserProducts[[#Headers],[Include or Exclude]], 0,4)</f>
        <v/>
      </c>
      <c r="AD105" s="187" t="str" cm="1">
        <f t="array" ref="AD105">Common_InputFunctions.Utility_DisplayArrayInTable(Fertiliser_SourceData.Fertiliser_Products_Data1(),FertiliserProducts[[#Headers],[Include or Exclude]], 0,4)</f>
        <v/>
      </c>
      <c r="AE105" s="187" t="str" cm="1">
        <f t="array" ref="AE105">Common_InputFunctions.Utility_DisplayArrayInTable(Fertiliser_SourceData.Fertiliser_Products_Data1(),FertiliserProducts[[#Headers],[Include or Exclude]], 0,4)</f>
        <v/>
      </c>
    </row>
    <row r="106" spans="4:31" ht="20.100000000000001" customHeight="1" x14ac:dyDescent="0.25">
      <c r="D106" s="187" t="str" cm="1">
        <f t="array" ref="D106">Common_InputFunctions.Utility_DisplayArrayInTable(Fertiliser_SourceData.Fertiliser_Products_Data1(),FertiliserProducts[[#Headers],[Include or Exclude]], -1)</f>
        <v>Exclude - Not relevant</v>
      </c>
      <c r="E106" s="187" t="str" cm="1">
        <f t="array" ref="E106">Common_InputFunctions.Utility_DisplayArrayInTable(Fertiliser_SourceData.Fertiliser_Products_Data1(),FertiliserProducts[[#Headers],[Include or Exclude]], 0)</f>
        <v/>
      </c>
      <c r="F106" s="187" t="str" cm="1">
        <f t="array" ref="F106">Common_InputFunctions.Utility_DisplayArrayInTable(Fertiliser_SourceData.Fertiliser_Products_Data1(),FertiliserProducts[[#Headers],[Include or Exclude]], 0)</f>
        <v>Campbells fertilisers Australia</v>
      </c>
      <c r="G106" s="187" t="str" cm="1">
        <f t="array" ref="G106">Common_InputFunctions.Utility_DisplayArrayInTable(Fertiliser_SourceData.Fertiliser_Products_Data1(),FertiliserProducts[[#Headers],[Include or Exclude]], 0)</f>
        <v>Brevisol Range</v>
      </c>
      <c r="H106" s="187" t="str" cm="1">
        <f t="array" ref="H106">Common_InputFunctions.Utility_DisplayArrayInTable(Fertiliser_SourceData.Fertiliser_Products_Data1(),FertiliserProducts[[#Headers],[Include or Exclude]], 0,4)</f>
        <v/>
      </c>
      <c r="I106" s="187" t="str" cm="1">
        <f t="array" ref="I106">Common_InputFunctions.Utility_DisplayArrayInTable(Fertiliser_SourceData.Fertiliser_Products_Data1(),FertiliserProducts[[#Headers],[Include or Exclude]], 0,4)</f>
        <v/>
      </c>
      <c r="J106" s="187" t="str" cm="1">
        <f t="array" ref="J106">Common_InputFunctions.Utility_DisplayArrayInTable(Fertiliser_SourceData.Fertiliser_Products_Data1(),FertiliserProducts[[#Headers],[Include or Exclude]], 0,4)</f>
        <v/>
      </c>
      <c r="K106" s="187" t="str" cm="1">
        <f t="array" ref="K106">Common_InputFunctions.Utility_DisplayArrayInTable(Fertiliser_SourceData.Fertiliser_Products_Data1(),FertiliserProducts[[#Headers],[Include or Exclude]], 0,4)</f>
        <v/>
      </c>
      <c r="L106" s="187" t="str" cm="1">
        <f t="array" ref="L106">Common_InputFunctions.Utility_DisplayArrayInTable(Fertiliser_SourceData.Fertiliser_Products_Data1(),FertiliserProducts[[#Headers],[Include or Exclude]], 0,4)</f>
        <v/>
      </c>
      <c r="M106" s="187" t="str" cm="1">
        <f t="array" ref="M106">Common_InputFunctions.Utility_DisplayArrayInTable(Fertiliser_SourceData.Fertiliser_Products_Data1(),FertiliserProducts[[#Headers],[Include or Exclude]], 0,4)</f>
        <v/>
      </c>
      <c r="N106" s="187" t="str" cm="1">
        <f t="array" ref="N106">Common_InputFunctions.Utility_DisplayArrayInTable(Fertiliser_SourceData.Fertiliser_Products_Data1(),FertiliserProducts[[#Headers],[Include or Exclude]], 0,4)</f>
        <v/>
      </c>
      <c r="O106" s="187" t="str" cm="1">
        <f t="array" ref="O106">Common_InputFunctions.Utility_DisplayArrayInTable(Fertiliser_SourceData.Fertiliser_Products_Data1(),FertiliserProducts[[#Headers],[Include or Exclude]], 0,4)</f>
        <v/>
      </c>
      <c r="P106" s="187" t="str" cm="1">
        <f t="array" ref="P106">Common_InputFunctions.Utility_DisplayArrayInTable(Fertiliser_SourceData.Fertiliser_Products_Data1(),FertiliserProducts[[#Headers],[Include or Exclude]], 0,4)</f>
        <v/>
      </c>
      <c r="Q106" s="187" t="str" cm="1">
        <f t="array" ref="Q106">Common_InputFunctions.Utility_DisplayArrayInTable(Fertiliser_SourceData.Fertiliser_Products_Data1(),FertiliserProducts[[#Headers],[Include or Exclude]], 0,4)</f>
        <v/>
      </c>
      <c r="R106" s="187" t="str" cm="1">
        <f t="array" ref="R106">Common_InputFunctions.Utility_DisplayArrayInTable(Fertiliser_SourceData.Fertiliser_Products_Data1(),FertiliserProducts[[#Headers],[Include or Exclude]], 0,4)</f>
        <v/>
      </c>
      <c r="S106" s="187" t="str" cm="1">
        <f t="array" ref="S106">Common_InputFunctions.Utility_DisplayArrayInTable(Fertiliser_SourceData.Fertiliser_Products_Data1(),FertiliserProducts[[#Headers],[Include or Exclude]], 0,4)</f>
        <v/>
      </c>
      <c r="T106" s="187" t="str" cm="1">
        <f t="array" ref="T106">Common_InputFunctions.Utility_DisplayArrayInTable(Fertiliser_SourceData.Fertiliser_Products_Data1(),FertiliserProducts[[#Headers],[Include or Exclude]], 0,4)</f>
        <v/>
      </c>
      <c r="U106" s="187" t="str" cm="1">
        <f t="array" ref="U106">Common_InputFunctions.Utility_DisplayArrayInTable(Fertiliser_SourceData.Fertiliser_Products_Data1(),FertiliserProducts[[#Headers],[Include or Exclude]], 0,4)</f>
        <v/>
      </c>
      <c r="V106" s="187" t="str" cm="1">
        <f t="array" ref="V106">Common_InputFunctions.Utility_DisplayArrayInTable(Fertiliser_SourceData.Fertiliser_Products_Data1(),FertiliserProducts[[#Headers],[Include or Exclude]], 0,4)</f>
        <v/>
      </c>
      <c r="W106" s="187" t="str" cm="1">
        <f t="array" ref="W106">Common_InputFunctions.Utility_DisplayArrayInTable(Fertiliser_SourceData.Fertiliser_Products_Data1(),FertiliserProducts[[#Headers],[Include or Exclude]], 0,4)</f>
        <v/>
      </c>
      <c r="X106" s="187" t="str" cm="1">
        <f t="array" ref="X106">Common_InputFunctions.Utility_DisplayArrayInTable(Fertiliser_SourceData.Fertiliser_Products_Data1(),FertiliserProducts[[#Headers],[Include or Exclude]], 0,4)</f>
        <v/>
      </c>
      <c r="Y106" s="187" t="str" cm="1">
        <f t="array" ref="Y106">Common_InputFunctions.Utility_DisplayArrayInTable(Fertiliser_SourceData.Fertiliser_Products_Data1(),FertiliserProducts[[#Headers],[Include or Exclude]], 0,4)</f>
        <v/>
      </c>
      <c r="Z106" s="187" t="str" cm="1">
        <f t="array" ref="Z106">Common_InputFunctions.Utility_DisplayArrayInTable(Fertiliser_SourceData.Fertiliser_Products_Data1(),FertiliserProducts[[#Headers],[Include or Exclude]], 0,4)</f>
        <v/>
      </c>
      <c r="AA106" s="187" t="str" cm="1">
        <f t="array" ref="AA106">Common_InputFunctions.Utility_DisplayArrayInTable(Fertiliser_SourceData.Fertiliser_Products_Data1(),FertiliserProducts[[#Headers],[Include or Exclude]], 0,4)</f>
        <v/>
      </c>
      <c r="AB106" s="187" t="str" cm="1">
        <f t="array" ref="AB106">Common_InputFunctions.Utility_DisplayArrayInTable(Fertiliser_SourceData.Fertiliser_Products_Data1(),FertiliserProducts[[#Headers],[Include or Exclude]], 0,4)</f>
        <v/>
      </c>
      <c r="AC106" s="187" t="str" cm="1">
        <f t="array" ref="AC106">Common_InputFunctions.Utility_DisplayArrayInTable(Fertiliser_SourceData.Fertiliser_Products_Data1(),FertiliserProducts[[#Headers],[Include or Exclude]], 0,4)</f>
        <v/>
      </c>
      <c r="AD106" s="187" t="str" cm="1">
        <f t="array" ref="AD106">Common_InputFunctions.Utility_DisplayArrayInTable(Fertiliser_SourceData.Fertiliser_Products_Data1(),FertiliserProducts[[#Headers],[Include or Exclude]], 0,4)</f>
        <v/>
      </c>
      <c r="AE106" s="187" t="str" cm="1">
        <f t="array" ref="AE106">Common_InputFunctions.Utility_DisplayArrayInTable(Fertiliser_SourceData.Fertiliser_Products_Data1(),FertiliserProducts[[#Headers],[Include or Exclude]], 0,4)</f>
        <v/>
      </c>
    </row>
    <row r="107" spans="4:31" ht="20.100000000000001" customHeight="1" x14ac:dyDescent="0.25">
      <c r="D107" s="187" t="str" cm="1">
        <f t="array" ref="D107">Common_InputFunctions.Utility_DisplayArrayInTable(Fertiliser_SourceData.Fertiliser_Products_Data1(),FertiliserProducts[[#Headers],[Include or Exclude]], -1)</f>
        <v>Include</v>
      </c>
      <c r="E107" s="187" t="str" cm="1">
        <f t="array" ref="E107">Common_InputFunctions.Utility_DisplayArrayInTable(Fertiliser_SourceData.Fertiliser_Products_Data1(),FertiliserProducts[[#Headers],[Include or Exclude]], 0)</f>
        <v/>
      </c>
      <c r="F107" s="187" t="str" cm="1">
        <f t="array" ref="F107">Common_InputFunctions.Utility_DisplayArrayInTable(Fertiliser_SourceData.Fertiliser_Products_Data1(),FertiliserProducts[[#Headers],[Include or Exclude]], 0)</f>
        <v>Campbells fertilisers Australia</v>
      </c>
      <c r="G107" s="187" t="str" cm="1">
        <f t="array" ref="G107">Common_InputFunctions.Utility_DisplayArrayInTable(Fertiliser_SourceData.Fertiliser_Products_Data1(),FertiliserProducts[[#Headers],[Include or Exclude]], 0)</f>
        <v>Brexil Line</v>
      </c>
      <c r="H107" s="187" t="str" cm="1">
        <f t="array" ref="H107">Common_InputFunctions.Utility_DisplayArrayInTable(Fertiliser_SourceData.Fertiliser_Products_Data1(),FertiliserProducts[[#Headers],[Include or Exclude]], 0,4)</f>
        <v/>
      </c>
      <c r="I107" s="187" t="str" cm="1">
        <f t="array" ref="I107">Common_InputFunctions.Utility_DisplayArrayInTable(Fertiliser_SourceData.Fertiliser_Products_Data1(),FertiliserProducts[[#Headers],[Include or Exclude]], 0,4)</f>
        <v/>
      </c>
      <c r="J107" s="187" t="str" cm="1">
        <f t="array" ref="J107">Common_InputFunctions.Utility_DisplayArrayInTable(Fertiliser_SourceData.Fertiliser_Products_Data1(),FertiliserProducts[[#Headers],[Include or Exclude]], 0,4)</f>
        <v/>
      </c>
      <c r="K107" s="187" t="str" cm="1">
        <f t="array" ref="K107">Common_InputFunctions.Utility_DisplayArrayInTable(Fertiliser_SourceData.Fertiliser_Products_Data1(),FertiliserProducts[[#Headers],[Include or Exclude]], 0,4)</f>
        <v/>
      </c>
      <c r="L107" s="187" t="str" cm="1">
        <f t="array" ref="L107">Common_InputFunctions.Utility_DisplayArrayInTable(Fertiliser_SourceData.Fertiliser_Products_Data1(),FertiliserProducts[[#Headers],[Include or Exclude]], 0,4)</f>
        <v/>
      </c>
      <c r="M107" s="187" t="str" cm="1">
        <f t="array" ref="M107">Common_InputFunctions.Utility_DisplayArrayInTable(Fertiliser_SourceData.Fertiliser_Products_Data1(),FertiliserProducts[[#Headers],[Include or Exclude]], 0,4)</f>
        <v/>
      </c>
      <c r="N107" s="187" t="str" cm="1">
        <f t="array" ref="N107">Common_InputFunctions.Utility_DisplayArrayInTable(Fertiliser_SourceData.Fertiliser_Products_Data1(),FertiliserProducts[[#Headers],[Include or Exclude]], 0,4)</f>
        <v/>
      </c>
      <c r="O107" s="187" t="str" cm="1">
        <f t="array" ref="O107">Common_InputFunctions.Utility_DisplayArrayInTable(Fertiliser_SourceData.Fertiliser_Products_Data1(),FertiliserProducts[[#Headers],[Include or Exclude]], 0,4)</f>
        <v/>
      </c>
      <c r="P107" s="187" t="str" cm="1">
        <f t="array" ref="P107">Common_InputFunctions.Utility_DisplayArrayInTable(Fertiliser_SourceData.Fertiliser_Products_Data1(),FertiliserProducts[[#Headers],[Include or Exclude]], 0,4)</f>
        <v/>
      </c>
      <c r="Q107" s="187" t="str" cm="1">
        <f t="array" ref="Q107">Common_InputFunctions.Utility_DisplayArrayInTable(Fertiliser_SourceData.Fertiliser_Products_Data1(),FertiliserProducts[[#Headers],[Include or Exclude]], 0,4)</f>
        <v/>
      </c>
      <c r="R107" s="187" t="str" cm="1">
        <f t="array" ref="R107">Common_InputFunctions.Utility_DisplayArrayInTable(Fertiliser_SourceData.Fertiliser_Products_Data1(),FertiliserProducts[[#Headers],[Include or Exclude]], 0,4)</f>
        <v/>
      </c>
      <c r="S107" s="187" t="str" cm="1">
        <f t="array" ref="S107">Common_InputFunctions.Utility_DisplayArrayInTable(Fertiliser_SourceData.Fertiliser_Products_Data1(),FertiliserProducts[[#Headers],[Include or Exclude]], 0,4)</f>
        <v/>
      </c>
      <c r="T107" s="187" t="str" cm="1">
        <f t="array" ref="T107">Common_InputFunctions.Utility_DisplayArrayInTable(Fertiliser_SourceData.Fertiliser_Products_Data1(),FertiliserProducts[[#Headers],[Include or Exclude]], 0,4)</f>
        <v/>
      </c>
      <c r="U107" s="187" t="str" cm="1">
        <f t="array" ref="U107">Common_InputFunctions.Utility_DisplayArrayInTable(Fertiliser_SourceData.Fertiliser_Products_Data1(),FertiliserProducts[[#Headers],[Include or Exclude]], 0,4)</f>
        <v/>
      </c>
      <c r="V107" s="187" t="str" cm="1">
        <f t="array" ref="V107">Common_InputFunctions.Utility_DisplayArrayInTable(Fertiliser_SourceData.Fertiliser_Products_Data1(),FertiliserProducts[[#Headers],[Include or Exclude]], 0,4)</f>
        <v/>
      </c>
      <c r="W107" s="187" t="str" cm="1">
        <f t="array" ref="W107">Common_InputFunctions.Utility_DisplayArrayInTable(Fertiliser_SourceData.Fertiliser_Products_Data1(),FertiliserProducts[[#Headers],[Include or Exclude]], 0,4)</f>
        <v/>
      </c>
      <c r="X107" s="187" t="str" cm="1">
        <f t="array" ref="X107">Common_InputFunctions.Utility_DisplayArrayInTable(Fertiliser_SourceData.Fertiliser_Products_Data1(),FertiliserProducts[[#Headers],[Include or Exclude]], 0,4)</f>
        <v/>
      </c>
      <c r="Y107" s="187" t="str" cm="1">
        <f t="array" ref="Y107">Common_InputFunctions.Utility_DisplayArrayInTable(Fertiliser_SourceData.Fertiliser_Products_Data1(),FertiliserProducts[[#Headers],[Include or Exclude]], 0,4)</f>
        <v/>
      </c>
      <c r="Z107" s="187" t="str" cm="1">
        <f t="array" ref="Z107">Common_InputFunctions.Utility_DisplayArrayInTable(Fertiliser_SourceData.Fertiliser_Products_Data1(),FertiliserProducts[[#Headers],[Include or Exclude]], 0,4)</f>
        <v/>
      </c>
      <c r="AA107" s="187" t="str" cm="1">
        <f t="array" ref="AA107">Common_InputFunctions.Utility_DisplayArrayInTable(Fertiliser_SourceData.Fertiliser_Products_Data1(),FertiliserProducts[[#Headers],[Include or Exclude]], 0,4)</f>
        <v/>
      </c>
      <c r="AB107" s="187" t="str" cm="1">
        <f t="array" ref="AB107">Common_InputFunctions.Utility_DisplayArrayInTable(Fertiliser_SourceData.Fertiliser_Products_Data1(),FertiliserProducts[[#Headers],[Include or Exclude]], 0,4)</f>
        <v/>
      </c>
      <c r="AC107" s="187" t="str" cm="1">
        <f t="array" ref="AC107">Common_InputFunctions.Utility_DisplayArrayInTable(Fertiliser_SourceData.Fertiliser_Products_Data1(),FertiliserProducts[[#Headers],[Include or Exclude]], 0,4)</f>
        <v/>
      </c>
      <c r="AD107" s="187" t="str" cm="1">
        <f t="array" ref="AD107">Common_InputFunctions.Utility_DisplayArrayInTable(Fertiliser_SourceData.Fertiliser_Products_Data1(),FertiliserProducts[[#Headers],[Include or Exclude]], 0,4)</f>
        <v/>
      </c>
      <c r="AE107" s="187" t="str" cm="1">
        <f t="array" ref="AE107">Common_InputFunctions.Utility_DisplayArrayInTable(Fertiliser_SourceData.Fertiliser_Products_Data1(),FertiliserProducts[[#Headers],[Include or Exclude]], 0,4)</f>
        <v/>
      </c>
    </row>
    <row r="108" spans="4:31" ht="20.100000000000001" customHeight="1" x14ac:dyDescent="0.25">
      <c r="D108" s="187" t="str" cm="1">
        <f t="array" ref="D108">Common_InputFunctions.Utility_DisplayArrayInTable(Fertiliser_SourceData.Fertiliser_Products_Data1(),FertiliserProducts[[#Headers],[Include or Exclude]], -1)</f>
        <v>Exclude - Absent ingredients &gt; 2%</v>
      </c>
      <c r="E108" s="187" t="str" cm="1">
        <f t="array" ref="E108">Common_InputFunctions.Utility_DisplayArrayInTable(Fertiliser_SourceData.Fertiliser_Products_Data1(),FertiliserProducts[[#Headers],[Include or Exclude]], 0)</f>
        <v/>
      </c>
      <c r="F108" s="187" t="str" cm="1">
        <f t="array" ref="F108">Common_InputFunctions.Utility_DisplayArrayInTable(Fertiliser_SourceData.Fertiliser_Products_Data1(),FertiliserProducts[[#Headers],[Include or Exclude]], 0)</f>
        <v>Campbells fertilisers Australia</v>
      </c>
      <c r="G108" s="187" t="str" cm="1">
        <f t="array" ref="G108">Common_InputFunctions.Utility_DisplayArrayInTable(Fertiliser_SourceData.Fertiliser_Products_Data1(),FertiliserProducts[[#Headers],[Include or Exclude]], 0)</f>
        <v>Bronze</v>
      </c>
      <c r="H108" s="187" t="str" cm="1">
        <f t="array" ref="H108">Common_InputFunctions.Utility_DisplayArrayInTable(Fertiliser_SourceData.Fertiliser_Products_Data1(),FertiliserProducts[[#Headers],[Include or Exclude]], 0,4)</f>
        <v>kg</v>
      </c>
      <c r="I108" s="187" t="str" cm="1">
        <f t="array" ref="I108">Common_InputFunctions.Utility_DisplayArrayInTable(Fertiliser_SourceData.Fertiliser_Products_Data1(),FertiliserProducts[[#Headers],[Include or Exclude]], 0,4)</f>
        <v/>
      </c>
      <c r="J108" s="187" t="str" cm="1">
        <f t="array" ref="J108">Common_InputFunctions.Utility_DisplayArrayInTable(Fertiliser_SourceData.Fertiliser_Products_Data1(),FertiliserProducts[[#Headers],[Include or Exclude]], 0,4)</f>
        <v/>
      </c>
      <c r="K108" s="187" t="str" cm="1">
        <f t="array" ref="K108">Common_InputFunctions.Utility_DisplayArrayInTable(Fertiliser_SourceData.Fertiliser_Products_Data1(),FertiliserProducts[[#Headers],[Include or Exclude]], 0,4)</f>
        <v/>
      </c>
      <c r="L108" s="187" t="str" cm="1">
        <f t="array" ref="L108">Common_InputFunctions.Utility_DisplayArrayInTable(Fertiliser_SourceData.Fertiliser_Products_Data1(),FertiliserProducts[[#Headers],[Include or Exclude]], 0,4)</f>
        <v>Muriate of Potash (MOP)</v>
      </c>
      <c r="M108" s="187" cm="1">
        <f t="array" ref="M108">Common_InputFunctions.Utility_DisplayArrayInTable(Fertiliser_SourceData.Fertiliser_Products_Data1(),FertiliserProducts[[#Headers],[Include or Exclude]], 0,4)</f>
        <v>0.23200000000000001</v>
      </c>
      <c r="N108" s="187" t="str" cm="1">
        <f t="array" ref="N108">Common_InputFunctions.Utility_DisplayArrayInTable(Fertiliser_SourceData.Fertiliser_Products_Data1(),FertiliserProducts[[#Headers],[Include or Exclude]], 0,4)</f>
        <v>Nitrogen - Generic</v>
      </c>
      <c r="O108" s="187" cm="1">
        <f t="array" ref="O108">Common_InputFunctions.Utility_DisplayArrayInTable(Fertiliser_SourceData.Fertiliser_Products_Data1(),FertiliserProducts[[#Headers],[Include or Exclude]], 0,4)</f>
        <v>0.17</v>
      </c>
      <c r="P108" s="187" t="str" cm="1">
        <f t="array" ref="P108">Common_InputFunctions.Utility_DisplayArrayInTable(Fertiliser_SourceData.Fertiliser_Products_Data1(),FertiliserProducts[[#Headers],[Include or Exclude]], 0,4)</f>
        <v>Sulfur - Generic</v>
      </c>
      <c r="Q108" s="187" cm="1">
        <f t="array" ref="Q108">Common_InputFunctions.Utility_DisplayArrayInTable(Fertiliser_SourceData.Fertiliser_Products_Data1(),FertiliserProducts[[#Headers],[Include or Exclude]], 0,4)</f>
        <v>5.0000000000000001E-3</v>
      </c>
      <c r="R108" s="187" t="str" cm="1">
        <f t="array" ref="R108">Common_InputFunctions.Utility_DisplayArrayInTable(Fertiliser_SourceData.Fertiliser_Products_Data1(),FertiliserProducts[[#Headers],[Include or Exclude]], 0,4)</f>
        <v>Magnesium</v>
      </c>
      <c r="S108" s="187" cm="1">
        <f t="array" ref="S108">Common_InputFunctions.Utility_DisplayArrayInTable(Fertiliser_SourceData.Fertiliser_Products_Data1(),FertiliserProducts[[#Headers],[Include or Exclude]], 0,4)</f>
        <v>2.3999999999999998E-3</v>
      </c>
      <c r="T108" s="187" t="str" cm="1">
        <f t="array" ref="T108">Common_InputFunctions.Utility_DisplayArrayInTable(Fertiliser_SourceData.Fertiliser_Products_Data1(),FertiliserProducts[[#Headers],[Include or Exclude]], 0,4)</f>
        <v>Phosphorus - Generic</v>
      </c>
      <c r="U108" s="187" cm="1">
        <f t="array" ref="U108">Common_InputFunctions.Utility_DisplayArrayInTable(Fertiliser_SourceData.Fertiliser_Products_Data1(),FertiliserProducts[[#Headers],[Include or Exclude]], 0,4)</f>
        <v>4.0000000000000002E-4</v>
      </c>
      <c r="V108" s="187" t="str" cm="1">
        <f t="array" ref="V108">Common_InputFunctions.Utility_DisplayArrayInTable(Fertiliser_SourceData.Fertiliser_Products_Data1(),FertiliserProducts[[#Headers],[Include or Exclude]], 0,4)</f>
        <v/>
      </c>
      <c r="W108" s="187" t="str" cm="1">
        <f t="array" ref="W108">Common_InputFunctions.Utility_DisplayArrayInTable(Fertiliser_SourceData.Fertiliser_Products_Data1(),FertiliserProducts[[#Headers],[Include or Exclude]], 0,4)</f>
        <v/>
      </c>
      <c r="X108" s="187" t="str" cm="1">
        <f t="array" ref="X108">Common_InputFunctions.Utility_DisplayArrayInTable(Fertiliser_SourceData.Fertiliser_Products_Data1(),FertiliserProducts[[#Headers],[Include or Exclude]], 0,4)</f>
        <v/>
      </c>
      <c r="Y108" s="187" t="str" cm="1">
        <f t="array" ref="Y108">Common_InputFunctions.Utility_DisplayArrayInTable(Fertiliser_SourceData.Fertiliser_Products_Data1(),FertiliserProducts[[#Headers],[Include or Exclude]], 0,4)</f>
        <v/>
      </c>
      <c r="Z108" s="187" t="str" cm="1">
        <f t="array" ref="Z108">Common_InputFunctions.Utility_DisplayArrayInTable(Fertiliser_SourceData.Fertiliser_Products_Data1(),FertiliserProducts[[#Headers],[Include or Exclude]], 0,4)</f>
        <v/>
      </c>
      <c r="AA108" s="187" t="str" cm="1">
        <f t="array" ref="AA108">Common_InputFunctions.Utility_DisplayArrayInTable(Fertiliser_SourceData.Fertiliser_Products_Data1(),FertiliserProducts[[#Headers],[Include or Exclude]], 0,4)</f>
        <v/>
      </c>
      <c r="AB108" s="187" t="str" cm="1">
        <f t="array" ref="AB108">Common_InputFunctions.Utility_DisplayArrayInTable(Fertiliser_SourceData.Fertiliser_Products_Data1(),FertiliserProducts[[#Headers],[Include or Exclude]], 0,4)</f>
        <v/>
      </c>
      <c r="AC108" s="187" t="str" cm="1">
        <f t="array" ref="AC108">Common_InputFunctions.Utility_DisplayArrayInTable(Fertiliser_SourceData.Fertiliser_Products_Data1(),FertiliserProducts[[#Headers],[Include or Exclude]], 0,4)</f>
        <v/>
      </c>
      <c r="AD108" s="187" t="str" cm="1">
        <f t="array" ref="AD108">Common_InputFunctions.Utility_DisplayArrayInTable(Fertiliser_SourceData.Fertiliser_Products_Data1(),FertiliserProducts[[#Headers],[Include or Exclude]], 0,4)</f>
        <v/>
      </c>
      <c r="AE108" s="187" t="str" cm="1">
        <f t="array" ref="AE108">Common_InputFunctions.Utility_DisplayArrayInTable(Fertiliser_SourceData.Fertiliser_Products_Data1(),FertiliserProducts[[#Headers],[Include or Exclude]], 0,4)</f>
        <v/>
      </c>
    </row>
    <row r="109" spans="4:31" ht="20.100000000000001" customHeight="1" x14ac:dyDescent="0.25">
      <c r="D109" s="187" t="str" cm="1">
        <f t="array" ref="D109">Common_InputFunctions.Utility_DisplayArrayInTable(Fertiliser_SourceData.Fertiliser_Products_Data1(),FertiliserProducts[[#Headers],[Include or Exclude]], -1)</f>
        <v>Exclude - Not relevant</v>
      </c>
      <c r="E109" s="187" t="str" cm="1">
        <f t="array" ref="E109">Common_InputFunctions.Utility_DisplayArrayInTable(Fertiliser_SourceData.Fertiliser_Products_Data1(),FertiliserProducts[[#Headers],[Include or Exclude]], 0)</f>
        <v/>
      </c>
      <c r="F109" s="187" t="str" cm="1">
        <f t="array" ref="F109">Common_InputFunctions.Utility_DisplayArrayInTable(Fertiliser_SourceData.Fertiliser_Products_Data1(),FertiliserProducts[[#Headers],[Include or Exclude]], 0)</f>
        <v>Campbells fertilisers Australia</v>
      </c>
      <c r="G109" s="187" t="str" cm="1">
        <f t="array" ref="G109">Common_InputFunctions.Utility_DisplayArrayInTable(Fertiliser_SourceData.Fertiliser_Products_Data1(),FertiliserProducts[[#Headers],[Include or Exclude]], 0)</f>
        <v>Bud-Wiser Dry</v>
      </c>
      <c r="H109" s="187" t="str" cm="1">
        <f t="array" ref="H109">Common_InputFunctions.Utility_DisplayArrayInTable(Fertiliser_SourceData.Fertiliser_Products_Data1(),FertiliserProducts[[#Headers],[Include or Exclude]], 0,4)</f>
        <v>kg</v>
      </c>
      <c r="I109" s="187" t="str" cm="1">
        <f t="array" ref="I109">Common_InputFunctions.Utility_DisplayArrayInTable(Fertiliser_SourceData.Fertiliser_Products_Data1(),FertiliserProducts[[#Headers],[Include or Exclude]], 0,4)</f>
        <v/>
      </c>
      <c r="J109" s="187" t="str" cm="1">
        <f t="array" ref="J109">Common_InputFunctions.Utility_DisplayArrayInTable(Fertiliser_SourceData.Fertiliser_Products_Data1(),FertiliserProducts[[#Headers],[Include or Exclude]], 0,4)</f>
        <v/>
      </c>
      <c r="K109" s="187" t="str" cm="1">
        <f t="array" ref="K109">Common_InputFunctions.Utility_DisplayArrayInTable(Fertiliser_SourceData.Fertiliser_Products_Data1(),FertiliserProducts[[#Headers],[Include or Exclude]], 0,4)</f>
        <v/>
      </c>
      <c r="L109" s="187" t="str" cm="1">
        <f t="array" ref="L109">Common_InputFunctions.Utility_DisplayArrayInTable(Fertiliser_SourceData.Fertiliser_Products_Data1(),FertiliserProducts[[#Headers],[Include or Exclude]], 0,4)</f>
        <v>Sulfur - Generic</v>
      </c>
      <c r="M109" s="187" cm="1">
        <f t="array" ref="M109">Common_InputFunctions.Utility_DisplayArrayInTable(Fertiliser_SourceData.Fertiliser_Products_Data1(),FertiliserProducts[[#Headers],[Include or Exclude]], 0,4)</f>
        <v>9.4E-2</v>
      </c>
      <c r="N109" s="187" t="str" cm="1">
        <f t="array" ref="N109">Common_InputFunctions.Utility_DisplayArrayInTable(Fertiliser_SourceData.Fertiliser_Products_Data1(),FertiliserProducts[[#Headers],[Include or Exclude]], 0,4)</f>
        <v>Magnesium</v>
      </c>
      <c r="O109" s="187" cm="1">
        <f t="array" ref="O109">Common_InputFunctions.Utility_DisplayArrayInTable(Fertiliser_SourceData.Fertiliser_Products_Data1(),FertiliserProducts[[#Headers],[Include or Exclude]], 0,4)</f>
        <v>0.06</v>
      </c>
      <c r="P109" s="187" t="str" cm="1">
        <f t="array" ref="P109">Common_InputFunctions.Utility_DisplayArrayInTable(Fertiliser_SourceData.Fertiliser_Products_Data1(),FertiliserProducts[[#Headers],[Include or Exclude]], 0,4)</f>
        <v>Boron</v>
      </c>
      <c r="Q109" s="187" cm="1">
        <f t="array" ref="Q109">Common_InputFunctions.Utility_DisplayArrayInTable(Fertiliser_SourceData.Fertiliser_Products_Data1(),FertiliserProducts[[#Headers],[Include or Exclude]], 0,4)</f>
        <v>4.4999999999999998E-2</v>
      </c>
      <c r="R109" s="187" t="str" cm="1">
        <f t="array" ref="R109">Common_InputFunctions.Utility_DisplayArrayInTable(Fertiliser_SourceData.Fertiliser_Products_Data1(),FertiliserProducts[[#Headers],[Include or Exclude]], 0,4)</f>
        <v>Zinc</v>
      </c>
      <c r="S109" s="187" cm="1">
        <f t="array" ref="S109">Common_InputFunctions.Utility_DisplayArrayInTable(Fertiliser_SourceData.Fertiliser_Products_Data1(),FertiliserProducts[[#Headers],[Include or Exclude]], 0,4)</f>
        <v>2.7E-2</v>
      </c>
      <c r="T109" s="187" t="str" cm="1">
        <f t="array" ref="T109">Common_InputFunctions.Utility_DisplayArrayInTable(Fertiliser_SourceData.Fertiliser_Products_Data1(),FertiliserProducts[[#Headers],[Include or Exclude]], 0,4)</f>
        <v/>
      </c>
      <c r="U109" s="187" t="str" cm="1">
        <f t="array" ref="U109">Common_InputFunctions.Utility_DisplayArrayInTable(Fertiliser_SourceData.Fertiliser_Products_Data1(),FertiliserProducts[[#Headers],[Include or Exclude]], 0,4)</f>
        <v/>
      </c>
      <c r="V109" s="187" t="str" cm="1">
        <f t="array" ref="V109">Common_InputFunctions.Utility_DisplayArrayInTable(Fertiliser_SourceData.Fertiliser_Products_Data1(),FertiliserProducts[[#Headers],[Include or Exclude]], 0,4)</f>
        <v/>
      </c>
      <c r="W109" s="187" t="str" cm="1">
        <f t="array" ref="W109">Common_InputFunctions.Utility_DisplayArrayInTable(Fertiliser_SourceData.Fertiliser_Products_Data1(),FertiliserProducts[[#Headers],[Include or Exclude]], 0,4)</f>
        <v/>
      </c>
      <c r="X109" s="187" t="str" cm="1">
        <f t="array" ref="X109">Common_InputFunctions.Utility_DisplayArrayInTable(Fertiliser_SourceData.Fertiliser_Products_Data1(),FertiliserProducts[[#Headers],[Include or Exclude]], 0,4)</f>
        <v/>
      </c>
      <c r="Y109" s="187" t="str" cm="1">
        <f t="array" ref="Y109">Common_InputFunctions.Utility_DisplayArrayInTable(Fertiliser_SourceData.Fertiliser_Products_Data1(),FertiliserProducts[[#Headers],[Include or Exclude]], 0,4)</f>
        <v/>
      </c>
      <c r="Z109" s="187" t="str" cm="1">
        <f t="array" ref="Z109">Common_InputFunctions.Utility_DisplayArrayInTable(Fertiliser_SourceData.Fertiliser_Products_Data1(),FertiliserProducts[[#Headers],[Include or Exclude]], 0,4)</f>
        <v/>
      </c>
      <c r="AA109" s="187" t="str" cm="1">
        <f t="array" ref="AA109">Common_InputFunctions.Utility_DisplayArrayInTable(Fertiliser_SourceData.Fertiliser_Products_Data1(),FertiliserProducts[[#Headers],[Include or Exclude]], 0,4)</f>
        <v/>
      </c>
      <c r="AB109" s="187" t="str" cm="1">
        <f t="array" ref="AB109">Common_InputFunctions.Utility_DisplayArrayInTable(Fertiliser_SourceData.Fertiliser_Products_Data1(),FertiliserProducts[[#Headers],[Include or Exclude]], 0,4)</f>
        <v/>
      </c>
      <c r="AC109" s="187" t="str" cm="1">
        <f t="array" ref="AC109">Common_InputFunctions.Utility_DisplayArrayInTable(Fertiliser_SourceData.Fertiliser_Products_Data1(),FertiliserProducts[[#Headers],[Include or Exclude]], 0,4)</f>
        <v/>
      </c>
      <c r="AD109" s="187" t="str" cm="1">
        <f t="array" ref="AD109">Common_InputFunctions.Utility_DisplayArrayInTable(Fertiliser_SourceData.Fertiliser_Products_Data1(),FertiliserProducts[[#Headers],[Include or Exclude]], 0,4)</f>
        <v/>
      </c>
      <c r="AE109" s="187" t="str" cm="1">
        <f t="array" ref="AE109">Common_InputFunctions.Utility_DisplayArrayInTable(Fertiliser_SourceData.Fertiliser_Products_Data1(),FertiliserProducts[[#Headers],[Include or Exclude]], 0,4)</f>
        <v/>
      </c>
    </row>
    <row r="110" spans="4:31" ht="20.100000000000001" customHeight="1" x14ac:dyDescent="0.25">
      <c r="D110" s="187" t="str" cm="1">
        <f t="array" ref="D110">Common_InputFunctions.Utility_DisplayArrayInTable(Fertiliser_SourceData.Fertiliser_Products_Data1(),FertiliserProducts[[#Headers],[Include or Exclude]], -1)</f>
        <v>Exclude - Not relevant</v>
      </c>
      <c r="E110" s="187" t="str" cm="1">
        <f t="array" ref="E110">Common_InputFunctions.Utility_DisplayArrayInTable(Fertiliser_SourceData.Fertiliser_Products_Data1(),FertiliserProducts[[#Headers],[Include or Exclude]], 0)</f>
        <v/>
      </c>
      <c r="F110" s="187" t="str" cm="1">
        <f t="array" ref="F110">Common_InputFunctions.Utility_DisplayArrayInTable(Fertiliser_SourceData.Fertiliser_Products_Data1(),FertiliserProducts[[#Headers],[Include or Exclude]], 0)</f>
        <v>Campbells fertilisers Australia</v>
      </c>
      <c r="G110" s="187" t="str" cm="1">
        <f t="array" ref="G110">Common_InputFunctions.Utility_DisplayArrayInTable(Fertiliser_SourceData.Fertiliser_Products_Data1(),FertiliserProducts[[#Headers],[Include or Exclude]], 0)</f>
        <v>Calbit C</v>
      </c>
      <c r="H110" s="187" t="str" cm="1">
        <f t="array" ref="H110">Common_InputFunctions.Utility_DisplayArrayInTable(Fertiliser_SourceData.Fertiliser_Products_Data1(),FertiliserProducts[[#Headers],[Include or Exclude]], 0,4)</f>
        <v>L</v>
      </c>
      <c r="I110" s="187" t="str" cm="1">
        <f t="array" ref="I110">Common_InputFunctions.Utility_DisplayArrayInTable(Fertiliser_SourceData.Fertiliser_Products_Data1(),FertiliserProducts[[#Headers],[Include or Exclude]], 0,4)</f>
        <v/>
      </c>
      <c r="J110" s="187" t="str" cm="1">
        <f t="array" ref="J110">Common_InputFunctions.Utility_DisplayArrayInTable(Fertiliser_SourceData.Fertiliser_Products_Data1(),FertiliserProducts[[#Headers],[Include or Exclude]], 0,4)</f>
        <v/>
      </c>
      <c r="K110" s="187" t="str" cm="1">
        <f t="array" ref="K110">Common_InputFunctions.Utility_DisplayArrayInTable(Fertiliser_SourceData.Fertiliser_Products_Data1(),FertiliserProducts[[#Headers],[Include or Exclude]], 0,4)</f>
        <v/>
      </c>
      <c r="L110" s="187" t="str" cm="1">
        <f t="array" ref="L110">Common_InputFunctions.Utility_DisplayArrayInTable(Fertiliser_SourceData.Fertiliser_Products_Data1(),FertiliserProducts[[#Headers],[Include or Exclude]], 0,4)</f>
        <v/>
      </c>
      <c r="M110" s="187" t="str" cm="1">
        <f t="array" ref="M110">Common_InputFunctions.Utility_DisplayArrayInTable(Fertiliser_SourceData.Fertiliser_Products_Data1(),FertiliserProducts[[#Headers],[Include or Exclude]], 0,4)</f>
        <v/>
      </c>
      <c r="N110" s="187" t="str" cm="1">
        <f t="array" ref="N110">Common_InputFunctions.Utility_DisplayArrayInTable(Fertiliser_SourceData.Fertiliser_Products_Data1(),FertiliserProducts[[#Headers],[Include or Exclude]], 0,4)</f>
        <v/>
      </c>
      <c r="O110" s="187" t="str" cm="1">
        <f t="array" ref="O110">Common_InputFunctions.Utility_DisplayArrayInTable(Fertiliser_SourceData.Fertiliser_Products_Data1(),FertiliserProducts[[#Headers],[Include or Exclude]], 0,4)</f>
        <v/>
      </c>
      <c r="P110" s="187" t="str" cm="1">
        <f t="array" ref="P110">Common_InputFunctions.Utility_DisplayArrayInTable(Fertiliser_SourceData.Fertiliser_Products_Data1(),FertiliserProducts[[#Headers],[Include or Exclude]], 0,4)</f>
        <v/>
      </c>
      <c r="Q110" s="187" t="str" cm="1">
        <f t="array" ref="Q110">Common_InputFunctions.Utility_DisplayArrayInTable(Fertiliser_SourceData.Fertiliser_Products_Data1(),FertiliserProducts[[#Headers],[Include or Exclude]], 0,4)</f>
        <v/>
      </c>
      <c r="R110" s="187" t="str" cm="1">
        <f t="array" ref="R110">Common_InputFunctions.Utility_DisplayArrayInTable(Fertiliser_SourceData.Fertiliser_Products_Data1(),FertiliserProducts[[#Headers],[Include or Exclude]], 0,4)</f>
        <v/>
      </c>
      <c r="S110" s="187" t="str" cm="1">
        <f t="array" ref="S110">Common_InputFunctions.Utility_DisplayArrayInTable(Fertiliser_SourceData.Fertiliser_Products_Data1(),FertiliserProducts[[#Headers],[Include or Exclude]], 0,4)</f>
        <v/>
      </c>
      <c r="T110" s="187" t="str" cm="1">
        <f t="array" ref="T110">Common_InputFunctions.Utility_DisplayArrayInTable(Fertiliser_SourceData.Fertiliser_Products_Data1(),FertiliserProducts[[#Headers],[Include or Exclude]], 0,4)</f>
        <v/>
      </c>
      <c r="U110" s="187" t="str" cm="1">
        <f t="array" ref="U110">Common_InputFunctions.Utility_DisplayArrayInTable(Fertiliser_SourceData.Fertiliser_Products_Data1(),FertiliserProducts[[#Headers],[Include or Exclude]], 0,4)</f>
        <v/>
      </c>
      <c r="V110" s="187" t="str" cm="1">
        <f t="array" ref="V110">Common_InputFunctions.Utility_DisplayArrayInTable(Fertiliser_SourceData.Fertiliser_Products_Data1(),FertiliserProducts[[#Headers],[Include or Exclude]], 0,4)</f>
        <v/>
      </c>
      <c r="W110" s="187" t="str" cm="1">
        <f t="array" ref="W110">Common_InputFunctions.Utility_DisplayArrayInTable(Fertiliser_SourceData.Fertiliser_Products_Data1(),FertiliserProducts[[#Headers],[Include or Exclude]], 0,4)</f>
        <v/>
      </c>
      <c r="X110" s="187" t="str" cm="1">
        <f t="array" ref="X110">Common_InputFunctions.Utility_DisplayArrayInTable(Fertiliser_SourceData.Fertiliser_Products_Data1(),FertiliserProducts[[#Headers],[Include or Exclude]], 0,4)</f>
        <v/>
      </c>
      <c r="Y110" s="187" t="str" cm="1">
        <f t="array" ref="Y110">Common_InputFunctions.Utility_DisplayArrayInTable(Fertiliser_SourceData.Fertiliser_Products_Data1(),FertiliserProducts[[#Headers],[Include or Exclude]], 0,4)</f>
        <v/>
      </c>
      <c r="Z110" s="187" t="str" cm="1">
        <f t="array" ref="Z110">Common_InputFunctions.Utility_DisplayArrayInTable(Fertiliser_SourceData.Fertiliser_Products_Data1(),FertiliserProducts[[#Headers],[Include or Exclude]], 0,4)</f>
        <v/>
      </c>
      <c r="AA110" s="187" t="str" cm="1">
        <f t="array" ref="AA110">Common_InputFunctions.Utility_DisplayArrayInTable(Fertiliser_SourceData.Fertiliser_Products_Data1(),FertiliserProducts[[#Headers],[Include or Exclude]], 0,4)</f>
        <v/>
      </c>
      <c r="AB110" s="187" t="str" cm="1">
        <f t="array" ref="AB110">Common_InputFunctions.Utility_DisplayArrayInTable(Fertiliser_SourceData.Fertiliser_Products_Data1(),FertiliserProducts[[#Headers],[Include or Exclude]], 0,4)</f>
        <v/>
      </c>
      <c r="AC110" s="187" t="str" cm="1">
        <f t="array" ref="AC110">Common_InputFunctions.Utility_DisplayArrayInTable(Fertiliser_SourceData.Fertiliser_Products_Data1(),FertiliserProducts[[#Headers],[Include or Exclude]], 0,4)</f>
        <v/>
      </c>
      <c r="AD110" s="187" t="str" cm="1">
        <f t="array" ref="AD110">Common_InputFunctions.Utility_DisplayArrayInTable(Fertiliser_SourceData.Fertiliser_Products_Data1(),FertiliserProducts[[#Headers],[Include or Exclude]], 0,4)</f>
        <v/>
      </c>
      <c r="AE110" s="187" t="str" cm="1">
        <f t="array" ref="AE110">Common_InputFunctions.Utility_DisplayArrayInTable(Fertiliser_SourceData.Fertiliser_Products_Data1(),FertiliserProducts[[#Headers],[Include or Exclude]], 0,4)</f>
        <v/>
      </c>
    </row>
    <row r="111" spans="4:31" ht="20.100000000000001" customHeight="1" x14ac:dyDescent="0.25">
      <c r="D111" s="187" t="str" cm="1">
        <f t="array" ref="D111">Common_InputFunctions.Utility_DisplayArrayInTable(Fertiliser_SourceData.Fertiliser_Products_Data1(),FertiliserProducts[[#Headers],[Include or Exclude]], -1)</f>
        <v>Include</v>
      </c>
      <c r="E111" s="187" t="str" cm="1">
        <f t="array" ref="E111">Common_InputFunctions.Utility_DisplayArrayInTable(Fertiliser_SourceData.Fertiliser_Products_Data1(),FertiliserProducts[[#Headers],[Include or Exclude]], 0)</f>
        <v/>
      </c>
      <c r="F111" s="187" t="str" cm="1">
        <f t="array" ref="F111">Common_InputFunctions.Utility_DisplayArrayInTable(Fertiliser_SourceData.Fertiliser_Products_Data1(),FertiliserProducts[[#Headers],[Include or Exclude]], 0)</f>
        <v>Campbells fertilisers Australia</v>
      </c>
      <c r="G111" s="187" t="str" cm="1">
        <f t="array" ref="G111">Common_InputFunctions.Utility_DisplayArrayInTable(Fertiliser_SourceData.Fertiliser_Products_Data1(),FertiliserProducts[[#Headers],[Include or Exclude]], 0)</f>
        <v>Calcium 175</v>
      </c>
      <c r="H111" s="187" t="str" cm="1">
        <f t="array" ref="H111">Common_InputFunctions.Utility_DisplayArrayInTable(Fertiliser_SourceData.Fertiliser_Products_Data1(),FertiliserProducts[[#Headers],[Include or Exclude]], 0,4)</f>
        <v>L</v>
      </c>
      <c r="I111" s="187" t="str" cm="1">
        <f t="array" ref="I111">Common_InputFunctions.Utility_DisplayArrayInTable(Fertiliser_SourceData.Fertiliser_Products_Data1(),FertiliserProducts[[#Headers],[Include or Exclude]], 0,4)</f>
        <v/>
      </c>
      <c r="J111" s="187" t="str" cm="1">
        <f t="array" ref="J111">Common_InputFunctions.Utility_DisplayArrayInTable(Fertiliser_SourceData.Fertiliser_Products_Data1(),FertiliserProducts[[#Headers],[Include or Exclude]], 0,4)</f>
        <v/>
      </c>
      <c r="K111" s="187" t="str" cm="1">
        <f t="array" ref="K111">Common_InputFunctions.Utility_DisplayArrayInTable(Fertiliser_SourceData.Fertiliser_Products_Data1(),FertiliserProducts[[#Headers],[Include or Exclude]], 0,4)</f>
        <v/>
      </c>
      <c r="L111" s="187" t="str" cm="1">
        <f t="array" ref="L111">Common_InputFunctions.Utility_DisplayArrayInTable(Fertiliser_SourceData.Fertiliser_Products_Data1(),FertiliserProducts[[#Headers],[Include or Exclude]], 0,4)</f>
        <v/>
      </c>
      <c r="M111" s="187" t="str" cm="1">
        <f t="array" ref="M111">Common_InputFunctions.Utility_DisplayArrayInTable(Fertiliser_SourceData.Fertiliser_Products_Data1(),FertiliserProducts[[#Headers],[Include or Exclude]], 0,4)</f>
        <v/>
      </c>
      <c r="N111" s="187" t="str" cm="1">
        <f t="array" ref="N111">Common_InputFunctions.Utility_DisplayArrayInTable(Fertiliser_SourceData.Fertiliser_Products_Data1(),FertiliserProducts[[#Headers],[Include or Exclude]], 0,4)</f>
        <v/>
      </c>
      <c r="O111" s="187" t="str" cm="1">
        <f t="array" ref="O111">Common_InputFunctions.Utility_DisplayArrayInTable(Fertiliser_SourceData.Fertiliser_Products_Data1(),FertiliserProducts[[#Headers],[Include or Exclude]], 0,4)</f>
        <v/>
      </c>
      <c r="P111" s="187" t="str" cm="1">
        <f t="array" ref="P111">Common_InputFunctions.Utility_DisplayArrayInTable(Fertiliser_SourceData.Fertiliser_Products_Data1(),FertiliserProducts[[#Headers],[Include or Exclude]], 0,4)</f>
        <v/>
      </c>
      <c r="Q111" s="187" t="str" cm="1">
        <f t="array" ref="Q111">Common_InputFunctions.Utility_DisplayArrayInTable(Fertiliser_SourceData.Fertiliser_Products_Data1(),FertiliserProducts[[#Headers],[Include or Exclude]], 0,4)</f>
        <v/>
      </c>
      <c r="R111" s="187" t="str" cm="1">
        <f t="array" ref="R111">Common_InputFunctions.Utility_DisplayArrayInTable(Fertiliser_SourceData.Fertiliser_Products_Data1(),FertiliserProducts[[#Headers],[Include or Exclude]], 0,4)</f>
        <v/>
      </c>
      <c r="S111" s="187" t="str" cm="1">
        <f t="array" ref="S111">Common_InputFunctions.Utility_DisplayArrayInTable(Fertiliser_SourceData.Fertiliser_Products_Data1(),FertiliserProducts[[#Headers],[Include or Exclude]], 0,4)</f>
        <v/>
      </c>
      <c r="T111" s="187" t="str" cm="1">
        <f t="array" ref="T111">Common_InputFunctions.Utility_DisplayArrayInTable(Fertiliser_SourceData.Fertiliser_Products_Data1(),FertiliserProducts[[#Headers],[Include or Exclude]], 0,4)</f>
        <v/>
      </c>
      <c r="U111" s="187" t="str" cm="1">
        <f t="array" ref="U111">Common_InputFunctions.Utility_DisplayArrayInTable(Fertiliser_SourceData.Fertiliser_Products_Data1(),FertiliserProducts[[#Headers],[Include or Exclude]], 0,4)</f>
        <v/>
      </c>
      <c r="V111" s="187" t="str" cm="1">
        <f t="array" ref="V111">Common_InputFunctions.Utility_DisplayArrayInTable(Fertiliser_SourceData.Fertiliser_Products_Data1(),FertiliserProducts[[#Headers],[Include or Exclude]], 0,4)</f>
        <v/>
      </c>
      <c r="W111" s="187" t="str" cm="1">
        <f t="array" ref="W111">Common_InputFunctions.Utility_DisplayArrayInTable(Fertiliser_SourceData.Fertiliser_Products_Data1(),FertiliserProducts[[#Headers],[Include or Exclude]], 0,4)</f>
        <v/>
      </c>
      <c r="X111" s="187" t="str" cm="1">
        <f t="array" ref="X111">Common_InputFunctions.Utility_DisplayArrayInTable(Fertiliser_SourceData.Fertiliser_Products_Data1(),FertiliserProducts[[#Headers],[Include or Exclude]], 0,4)</f>
        <v/>
      </c>
      <c r="Y111" s="187" t="str" cm="1">
        <f t="array" ref="Y111">Common_InputFunctions.Utility_DisplayArrayInTable(Fertiliser_SourceData.Fertiliser_Products_Data1(),FertiliserProducts[[#Headers],[Include or Exclude]], 0,4)</f>
        <v/>
      </c>
      <c r="Z111" s="187" t="str" cm="1">
        <f t="array" ref="Z111">Common_InputFunctions.Utility_DisplayArrayInTable(Fertiliser_SourceData.Fertiliser_Products_Data1(),FertiliserProducts[[#Headers],[Include or Exclude]], 0,4)</f>
        <v/>
      </c>
      <c r="AA111" s="187" t="str" cm="1">
        <f t="array" ref="AA111">Common_InputFunctions.Utility_DisplayArrayInTable(Fertiliser_SourceData.Fertiliser_Products_Data1(),FertiliserProducts[[#Headers],[Include or Exclude]], 0,4)</f>
        <v/>
      </c>
      <c r="AB111" s="187" t="str" cm="1">
        <f t="array" ref="AB111">Common_InputFunctions.Utility_DisplayArrayInTable(Fertiliser_SourceData.Fertiliser_Products_Data1(),FertiliserProducts[[#Headers],[Include or Exclude]], 0,4)</f>
        <v/>
      </c>
      <c r="AC111" s="187" t="str" cm="1">
        <f t="array" ref="AC111">Common_InputFunctions.Utility_DisplayArrayInTable(Fertiliser_SourceData.Fertiliser_Products_Data1(),FertiliserProducts[[#Headers],[Include or Exclude]], 0,4)</f>
        <v/>
      </c>
      <c r="AD111" s="187" t="str" cm="1">
        <f t="array" ref="AD111">Common_InputFunctions.Utility_DisplayArrayInTable(Fertiliser_SourceData.Fertiliser_Products_Data1(),FertiliserProducts[[#Headers],[Include or Exclude]], 0,4)</f>
        <v/>
      </c>
      <c r="AE111" s="187" t="str" cm="1">
        <f t="array" ref="AE111">Common_InputFunctions.Utility_DisplayArrayInTable(Fertiliser_SourceData.Fertiliser_Products_Data1(),FertiliserProducts[[#Headers],[Include or Exclude]], 0,4)</f>
        <v/>
      </c>
    </row>
    <row r="112" spans="4:31" ht="20.100000000000001" customHeight="1" x14ac:dyDescent="0.25">
      <c r="D112" s="187" t="str" cm="1">
        <f t="array" ref="D112">Common_InputFunctions.Utility_DisplayArrayInTable(Fertiliser_SourceData.Fertiliser_Products_Data1(),FertiliserProducts[[#Headers],[Include or Exclude]], -1)</f>
        <v/>
      </c>
      <c r="E112" s="187" t="str" cm="1">
        <f t="array" ref="E112">Common_InputFunctions.Utility_DisplayArrayInTable(Fertiliser_SourceData.Fertiliser_Products_Data1(),FertiliserProducts[[#Headers],[Include or Exclude]], 0)</f>
        <v>Use Lime EF for calcium</v>
      </c>
      <c r="F112" s="187" t="str" cm="1">
        <f t="array" ref="F112">Common_InputFunctions.Utility_DisplayArrayInTable(Fertiliser_SourceData.Fertiliser_Products_Data1(),FertiliserProducts[[#Headers],[Include or Exclude]], 0)</f>
        <v>Campbells fertilisers Australia</v>
      </c>
      <c r="G112" s="187" t="str" cm="1">
        <f t="array" ref="G112">Common_InputFunctions.Utility_DisplayArrayInTable(Fertiliser_SourceData.Fertiliser_Products_Data1(),FertiliserProducts[[#Headers],[Include or Exclude]], 0)</f>
        <v>CalPhos</v>
      </c>
      <c r="H112" s="187" t="str" cm="1">
        <f t="array" ref="H112">Common_InputFunctions.Utility_DisplayArrayInTable(Fertiliser_SourceData.Fertiliser_Products_Data1(),FertiliserProducts[[#Headers],[Include or Exclude]], 0,4)</f>
        <v>L</v>
      </c>
      <c r="I112" s="187" cm="1">
        <f t="array" ref="I112">Common_InputFunctions.Utility_DisplayArrayInTable(Fertiliser_SourceData.Fertiliser_Products_Data1(),FertiliserProducts[[#Headers],[Include or Exclude]], 0,4)</f>
        <v>1.2849999999999999</v>
      </c>
      <c r="J112" s="187" t="str" cm="1">
        <f t="array" ref="J112">Common_InputFunctions.Utility_DisplayArrayInTable(Fertiliser_SourceData.Fertiliser_Products_Data1(),FertiliserProducts[[#Headers],[Include or Exclude]], 0,4)</f>
        <v/>
      </c>
      <c r="K112" s="187" t="str" cm="1">
        <f t="array" ref="K112">Common_InputFunctions.Utility_DisplayArrayInTable(Fertiliser_SourceData.Fertiliser_Products_Data1(),FertiliserProducts[[#Headers],[Include or Exclude]], 0,4)</f>
        <v/>
      </c>
      <c r="L112" s="187" t="str" cm="1">
        <f t="array" ref="L112">Common_InputFunctions.Utility_DisplayArrayInTable(Fertiliser_SourceData.Fertiliser_Products_Data1(),FertiliserProducts[[#Headers],[Include or Exclude]], 0,4)</f>
        <v>Phosphorus - Generic</v>
      </c>
      <c r="M112" s="187" cm="1">
        <f t="array" ref="M112">Common_InputFunctions.Utility_DisplayArrayInTable(Fertiliser_SourceData.Fertiliser_Products_Data1(),FertiliserProducts[[#Headers],[Include or Exclude]], 0,4)</f>
        <v>0.13500000000000001</v>
      </c>
      <c r="N112" s="187" t="str" cm="1">
        <f t="array" ref="N112">Common_InputFunctions.Utility_DisplayArrayInTable(Fertiliser_SourceData.Fertiliser_Products_Data1(),FertiliserProducts[[#Headers],[Include or Exclude]], 0,4)</f>
        <v>Calcium - Generic</v>
      </c>
      <c r="O112" s="187" cm="1">
        <f t="array" ref="O112">Common_InputFunctions.Utility_DisplayArrayInTable(Fertiliser_SourceData.Fertiliser_Products_Data1(),FertiliserProducts[[#Headers],[Include or Exclude]], 0,4)</f>
        <v>0.04</v>
      </c>
      <c r="P112" s="187" t="str" cm="1">
        <f t="array" ref="P112">Common_InputFunctions.Utility_DisplayArrayInTable(Fertiliser_SourceData.Fertiliser_Products_Data1(),FertiliserProducts[[#Headers],[Include or Exclude]], 0,4)</f>
        <v/>
      </c>
      <c r="Q112" s="187" t="str" cm="1">
        <f t="array" ref="Q112">Common_InputFunctions.Utility_DisplayArrayInTable(Fertiliser_SourceData.Fertiliser_Products_Data1(),FertiliserProducts[[#Headers],[Include or Exclude]], 0,4)</f>
        <v/>
      </c>
      <c r="R112" s="187" t="str" cm="1">
        <f t="array" ref="R112">Common_InputFunctions.Utility_DisplayArrayInTable(Fertiliser_SourceData.Fertiliser_Products_Data1(),FertiliserProducts[[#Headers],[Include or Exclude]], 0,4)</f>
        <v/>
      </c>
      <c r="S112" s="187" t="str" cm="1">
        <f t="array" ref="S112">Common_InputFunctions.Utility_DisplayArrayInTable(Fertiliser_SourceData.Fertiliser_Products_Data1(),FertiliserProducts[[#Headers],[Include or Exclude]], 0,4)</f>
        <v/>
      </c>
      <c r="T112" s="187" t="str" cm="1">
        <f t="array" ref="T112">Common_InputFunctions.Utility_DisplayArrayInTable(Fertiliser_SourceData.Fertiliser_Products_Data1(),FertiliserProducts[[#Headers],[Include or Exclude]], 0,4)</f>
        <v/>
      </c>
      <c r="U112" s="187" t="str" cm="1">
        <f t="array" ref="U112">Common_InputFunctions.Utility_DisplayArrayInTable(Fertiliser_SourceData.Fertiliser_Products_Data1(),FertiliserProducts[[#Headers],[Include or Exclude]], 0,4)</f>
        <v/>
      </c>
      <c r="V112" s="187" t="str" cm="1">
        <f t="array" ref="V112">Common_InputFunctions.Utility_DisplayArrayInTable(Fertiliser_SourceData.Fertiliser_Products_Data1(),FertiliserProducts[[#Headers],[Include or Exclude]], 0,4)</f>
        <v/>
      </c>
      <c r="W112" s="187" t="str" cm="1">
        <f t="array" ref="W112">Common_InputFunctions.Utility_DisplayArrayInTable(Fertiliser_SourceData.Fertiliser_Products_Data1(),FertiliserProducts[[#Headers],[Include or Exclude]], 0,4)</f>
        <v/>
      </c>
      <c r="X112" s="187" t="str" cm="1">
        <f t="array" ref="X112">Common_InputFunctions.Utility_DisplayArrayInTable(Fertiliser_SourceData.Fertiliser_Products_Data1(),FertiliserProducts[[#Headers],[Include or Exclude]], 0,4)</f>
        <v/>
      </c>
      <c r="Y112" s="187" t="str" cm="1">
        <f t="array" ref="Y112">Common_InputFunctions.Utility_DisplayArrayInTable(Fertiliser_SourceData.Fertiliser_Products_Data1(),FertiliserProducts[[#Headers],[Include or Exclude]], 0,4)</f>
        <v/>
      </c>
      <c r="Z112" s="187" t="str" cm="1">
        <f t="array" ref="Z112">Common_InputFunctions.Utility_DisplayArrayInTable(Fertiliser_SourceData.Fertiliser_Products_Data1(),FertiliserProducts[[#Headers],[Include or Exclude]], 0,4)</f>
        <v/>
      </c>
      <c r="AA112" s="187" t="str" cm="1">
        <f t="array" ref="AA112">Common_InputFunctions.Utility_DisplayArrayInTable(Fertiliser_SourceData.Fertiliser_Products_Data1(),FertiliserProducts[[#Headers],[Include or Exclude]], 0,4)</f>
        <v/>
      </c>
      <c r="AB112" s="187" t="str" cm="1">
        <f t="array" ref="AB112">Common_InputFunctions.Utility_DisplayArrayInTable(Fertiliser_SourceData.Fertiliser_Products_Data1(),FertiliserProducts[[#Headers],[Include or Exclude]], 0,4)</f>
        <v/>
      </c>
      <c r="AC112" s="187" t="str" cm="1">
        <f t="array" ref="AC112">Common_InputFunctions.Utility_DisplayArrayInTable(Fertiliser_SourceData.Fertiliser_Products_Data1(),FertiliserProducts[[#Headers],[Include or Exclude]], 0,4)</f>
        <v/>
      </c>
      <c r="AD112" s="187" t="str" cm="1">
        <f t="array" ref="AD112">Common_InputFunctions.Utility_DisplayArrayInTable(Fertiliser_SourceData.Fertiliser_Products_Data1(),FertiliserProducts[[#Headers],[Include or Exclude]], 0,4)</f>
        <v/>
      </c>
      <c r="AE112" s="187" t="str" cm="1">
        <f t="array" ref="AE112">Common_InputFunctions.Utility_DisplayArrayInTable(Fertiliser_SourceData.Fertiliser_Products_Data1(),FertiliserProducts[[#Headers],[Include or Exclude]], 0,4)</f>
        <v/>
      </c>
    </row>
    <row r="113" spans="4:31" ht="20.100000000000001" customHeight="1" x14ac:dyDescent="0.25">
      <c r="D113" s="187" t="str" cm="1">
        <f t="array" ref="D113">Common_InputFunctions.Utility_DisplayArrayInTable(Fertiliser_SourceData.Fertiliser_Products_Data1(),FertiliserProducts[[#Headers],[Include or Exclude]], -1)</f>
        <v/>
      </c>
      <c r="E113" s="187" t="str" cm="1">
        <f t="array" ref="E113">Common_InputFunctions.Utility_DisplayArrayInTable(Fertiliser_SourceData.Fertiliser_Products_Data1(),FertiliserProducts[[#Headers],[Include or Exclude]], 0)</f>
        <v/>
      </c>
      <c r="F113" s="187" t="str" cm="1">
        <f t="array" ref="F113">Common_InputFunctions.Utility_DisplayArrayInTable(Fertiliser_SourceData.Fertiliser_Products_Data1(),FertiliserProducts[[#Headers],[Include or Exclude]], 0)</f>
        <v/>
      </c>
      <c r="G113" s="187" t="str" cm="1">
        <f t="array" ref="G113">Common_InputFunctions.Utility_DisplayArrayInTable(Fertiliser_SourceData.Fertiliser_Products_Data1(),FertiliserProducts[[#Headers],[Include or Exclude]], 0)</f>
        <v/>
      </c>
      <c r="H113" s="187" t="str" cm="1">
        <f t="array" ref="H113">Common_InputFunctions.Utility_DisplayArrayInTable(Fertiliser_SourceData.Fertiliser_Products_Data1(),FertiliserProducts[[#Headers],[Include or Exclude]], 0,4)</f>
        <v/>
      </c>
      <c r="I113" s="187" t="str" cm="1">
        <f t="array" ref="I113">Common_InputFunctions.Utility_DisplayArrayInTable(Fertiliser_SourceData.Fertiliser_Products_Data1(),FertiliserProducts[[#Headers],[Include or Exclude]], 0,4)</f>
        <v/>
      </c>
      <c r="J113" s="187" t="str" cm="1">
        <f t="array" ref="J113">Common_InputFunctions.Utility_DisplayArrayInTable(Fertiliser_SourceData.Fertiliser_Products_Data1(),FertiliserProducts[[#Headers],[Include or Exclude]], 0,4)</f>
        <v/>
      </c>
      <c r="K113" s="187" t="str" cm="1">
        <f t="array" ref="K113">Common_InputFunctions.Utility_DisplayArrayInTable(Fertiliser_SourceData.Fertiliser_Products_Data1(),FertiliserProducts[[#Headers],[Include or Exclude]], 0,4)</f>
        <v/>
      </c>
      <c r="L113" s="187" t="str" cm="1">
        <f t="array" ref="L113">Common_InputFunctions.Utility_DisplayArrayInTable(Fertiliser_SourceData.Fertiliser_Products_Data1(),FertiliserProducts[[#Headers],[Include or Exclude]], 0,4)</f>
        <v/>
      </c>
      <c r="M113" s="187" t="str" cm="1">
        <f t="array" ref="M113">Common_InputFunctions.Utility_DisplayArrayInTable(Fertiliser_SourceData.Fertiliser_Products_Data1(),FertiliserProducts[[#Headers],[Include or Exclude]], 0,4)</f>
        <v/>
      </c>
      <c r="N113" s="187" t="str" cm="1">
        <f t="array" ref="N113">Common_InputFunctions.Utility_DisplayArrayInTable(Fertiliser_SourceData.Fertiliser_Products_Data1(),FertiliserProducts[[#Headers],[Include or Exclude]], 0,4)</f>
        <v/>
      </c>
      <c r="O113" s="187" t="str" cm="1">
        <f t="array" ref="O113">Common_InputFunctions.Utility_DisplayArrayInTable(Fertiliser_SourceData.Fertiliser_Products_Data1(),FertiliserProducts[[#Headers],[Include or Exclude]], 0,4)</f>
        <v/>
      </c>
      <c r="P113" s="187" t="str" cm="1">
        <f t="array" ref="P113">Common_InputFunctions.Utility_DisplayArrayInTable(Fertiliser_SourceData.Fertiliser_Products_Data1(),FertiliserProducts[[#Headers],[Include or Exclude]], 0,4)</f>
        <v/>
      </c>
      <c r="Q113" s="187" t="str" cm="1">
        <f t="array" ref="Q113">Common_InputFunctions.Utility_DisplayArrayInTable(Fertiliser_SourceData.Fertiliser_Products_Data1(),FertiliserProducts[[#Headers],[Include or Exclude]], 0,4)</f>
        <v/>
      </c>
      <c r="R113" s="187" t="str" cm="1">
        <f t="array" ref="R113">Common_InputFunctions.Utility_DisplayArrayInTable(Fertiliser_SourceData.Fertiliser_Products_Data1(),FertiliserProducts[[#Headers],[Include or Exclude]], 0,4)</f>
        <v/>
      </c>
      <c r="S113" s="187" t="str" cm="1">
        <f t="array" ref="S113">Common_InputFunctions.Utility_DisplayArrayInTable(Fertiliser_SourceData.Fertiliser_Products_Data1(),FertiliserProducts[[#Headers],[Include or Exclude]], 0,4)</f>
        <v/>
      </c>
      <c r="T113" s="187" t="str" cm="1">
        <f t="array" ref="T113">Common_InputFunctions.Utility_DisplayArrayInTable(Fertiliser_SourceData.Fertiliser_Products_Data1(),FertiliserProducts[[#Headers],[Include or Exclude]], 0,4)</f>
        <v/>
      </c>
      <c r="U113" s="187" t="str" cm="1">
        <f t="array" ref="U113">Common_InputFunctions.Utility_DisplayArrayInTable(Fertiliser_SourceData.Fertiliser_Products_Data1(),FertiliserProducts[[#Headers],[Include or Exclude]], 0,4)</f>
        <v/>
      </c>
      <c r="V113" s="187" t="str" cm="1">
        <f t="array" ref="V113">Common_InputFunctions.Utility_DisplayArrayInTable(Fertiliser_SourceData.Fertiliser_Products_Data1(),FertiliserProducts[[#Headers],[Include or Exclude]], 0,4)</f>
        <v/>
      </c>
      <c r="W113" s="187" t="str" cm="1">
        <f t="array" ref="W113">Common_InputFunctions.Utility_DisplayArrayInTable(Fertiliser_SourceData.Fertiliser_Products_Data1(),FertiliserProducts[[#Headers],[Include or Exclude]], 0,4)</f>
        <v/>
      </c>
      <c r="X113" s="187" t="str" cm="1">
        <f t="array" ref="X113">Common_InputFunctions.Utility_DisplayArrayInTable(Fertiliser_SourceData.Fertiliser_Products_Data1(),FertiliserProducts[[#Headers],[Include or Exclude]], 0,4)</f>
        <v/>
      </c>
      <c r="Y113" s="187" t="str" cm="1">
        <f t="array" ref="Y113">Common_InputFunctions.Utility_DisplayArrayInTable(Fertiliser_SourceData.Fertiliser_Products_Data1(),FertiliserProducts[[#Headers],[Include or Exclude]], 0,4)</f>
        <v/>
      </c>
      <c r="Z113" s="187" t="str" cm="1">
        <f t="array" ref="Z113">Common_InputFunctions.Utility_DisplayArrayInTable(Fertiliser_SourceData.Fertiliser_Products_Data1(),FertiliserProducts[[#Headers],[Include or Exclude]], 0,4)</f>
        <v/>
      </c>
      <c r="AA113" s="187" t="str" cm="1">
        <f t="array" ref="AA113">Common_InputFunctions.Utility_DisplayArrayInTable(Fertiliser_SourceData.Fertiliser_Products_Data1(),FertiliserProducts[[#Headers],[Include or Exclude]], 0,4)</f>
        <v/>
      </c>
      <c r="AB113" s="187" t="str" cm="1">
        <f t="array" ref="AB113">Common_InputFunctions.Utility_DisplayArrayInTable(Fertiliser_SourceData.Fertiliser_Products_Data1(),FertiliserProducts[[#Headers],[Include or Exclude]], 0,4)</f>
        <v/>
      </c>
      <c r="AC113" s="187" t="str" cm="1">
        <f t="array" ref="AC113">Common_InputFunctions.Utility_DisplayArrayInTable(Fertiliser_SourceData.Fertiliser_Products_Data1(),FertiliserProducts[[#Headers],[Include or Exclude]], 0,4)</f>
        <v/>
      </c>
      <c r="AD113" s="187" t="str" cm="1">
        <f t="array" ref="AD113">Common_InputFunctions.Utility_DisplayArrayInTable(Fertiliser_SourceData.Fertiliser_Products_Data1(),FertiliserProducts[[#Headers],[Include or Exclude]], 0,4)</f>
        <v/>
      </c>
      <c r="AE113" s="187" t="str" cm="1">
        <f t="array" ref="AE113">Common_InputFunctions.Utility_DisplayArrayInTable(Fertiliser_SourceData.Fertiliser_Products_Data1(),FertiliserProducts[[#Headers],[Include or Exclude]], 0,4)</f>
        <v/>
      </c>
    </row>
    <row r="114" spans="4:31" ht="20.100000000000001" customHeight="1" x14ac:dyDescent="0.25">
      <c r="D114" s="187" t="str" cm="1">
        <f t="array" ref="D114">Common_InputFunctions.Utility_DisplayArrayInTable(Fertiliser_SourceData.Fertiliser_Products_Data1(),FertiliserProducts[[#Headers],[Include or Exclude]], -1)</f>
        <v/>
      </c>
      <c r="E114" s="187" t="str" cm="1">
        <f t="array" ref="E114">Common_InputFunctions.Utility_DisplayArrayInTable(Fertiliser_SourceData.Fertiliser_Products_Data1(),FertiliserProducts[[#Headers],[Include or Exclude]], 0)</f>
        <v/>
      </c>
      <c r="F114" s="187" t="str" cm="1">
        <f t="array" ref="F114">Common_InputFunctions.Utility_DisplayArrayInTable(Fertiliser_SourceData.Fertiliser_Products_Data1(),FertiliserProducts[[#Headers],[Include or Exclude]], 0)</f>
        <v/>
      </c>
      <c r="G114" s="187" t="str" cm="1">
        <f t="array" ref="G114">Common_InputFunctions.Utility_DisplayArrayInTable(Fertiliser_SourceData.Fertiliser_Products_Data1(),FertiliserProducts[[#Headers],[Include or Exclude]], 0)</f>
        <v/>
      </c>
      <c r="H114" s="187" t="str" cm="1">
        <f t="array" ref="H114">Common_InputFunctions.Utility_DisplayArrayInTable(Fertiliser_SourceData.Fertiliser_Products_Data1(),FertiliserProducts[[#Headers],[Include or Exclude]], 0,4)</f>
        <v/>
      </c>
      <c r="I114" s="187" t="str" cm="1">
        <f t="array" ref="I114">Common_InputFunctions.Utility_DisplayArrayInTable(Fertiliser_SourceData.Fertiliser_Products_Data1(),FertiliserProducts[[#Headers],[Include or Exclude]], 0,4)</f>
        <v/>
      </c>
      <c r="J114" s="187" t="str" cm="1">
        <f t="array" ref="J114">Common_InputFunctions.Utility_DisplayArrayInTable(Fertiliser_SourceData.Fertiliser_Products_Data1(),FertiliserProducts[[#Headers],[Include or Exclude]], 0,4)</f>
        <v/>
      </c>
      <c r="K114" s="187" t="str" cm="1">
        <f t="array" ref="K114">Common_InputFunctions.Utility_DisplayArrayInTable(Fertiliser_SourceData.Fertiliser_Products_Data1(),FertiliserProducts[[#Headers],[Include or Exclude]], 0,4)</f>
        <v/>
      </c>
      <c r="L114" s="187" t="str" cm="1">
        <f t="array" ref="L114">Common_InputFunctions.Utility_DisplayArrayInTable(Fertiliser_SourceData.Fertiliser_Products_Data1(),FertiliserProducts[[#Headers],[Include or Exclude]], 0,4)</f>
        <v/>
      </c>
      <c r="M114" s="187" t="str" cm="1">
        <f t="array" ref="M114">Common_InputFunctions.Utility_DisplayArrayInTable(Fertiliser_SourceData.Fertiliser_Products_Data1(),FertiliserProducts[[#Headers],[Include or Exclude]], 0,4)</f>
        <v/>
      </c>
      <c r="N114" s="187" t="str" cm="1">
        <f t="array" ref="N114">Common_InputFunctions.Utility_DisplayArrayInTable(Fertiliser_SourceData.Fertiliser_Products_Data1(),FertiliserProducts[[#Headers],[Include or Exclude]], 0,4)</f>
        <v/>
      </c>
      <c r="O114" s="187" t="str" cm="1">
        <f t="array" ref="O114">Common_InputFunctions.Utility_DisplayArrayInTable(Fertiliser_SourceData.Fertiliser_Products_Data1(),FertiliserProducts[[#Headers],[Include or Exclude]], 0,4)</f>
        <v/>
      </c>
      <c r="P114" s="187" t="str" cm="1">
        <f t="array" ref="P114">Common_InputFunctions.Utility_DisplayArrayInTable(Fertiliser_SourceData.Fertiliser_Products_Data1(),FertiliserProducts[[#Headers],[Include or Exclude]], 0,4)</f>
        <v/>
      </c>
      <c r="Q114" s="187" t="str" cm="1">
        <f t="array" ref="Q114">Common_InputFunctions.Utility_DisplayArrayInTable(Fertiliser_SourceData.Fertiliser_Products_Data1(),FertiliserProducts[[#Headers],[Include or Exclude]], 0,4)</f>
        <v/>
      </c>
      <c r="R114" s="187" t="str" cm="1">
        <f t="array" ref="R114">Common_InputFunctions.Utility_DisplayArrayInTable(Fertiliser_SourceData.Fertiliser_Products_Data1(),FertiliserProducts[[#Headers],[Include or Exclude]], 0,4)</f>
        <v/>
      </c>
      <c r="S114" s="187" t="str" cm="1">
        <f t="array" ref="S114">Common_InputFunctions.Utility_DisplayArrayInTable(Fertiliser_SourceData.Fertiliser_Products_Data1(),FertiliserProducts[[#Headers],[Include or Exclude]], 0,4)</f>
        <v/>
      </c>
      <c r="T114" s="187" t="str" cm="1">
        <f t="array" ref="T114">Common_InputFunctions.Utility_DisplayArrayInTable(Fertiliser_SourceData.Fertiliser_Products_Data1(),FertiliserProducts[[#Headers],[Include or Exclude]], 0,4)</f>
        <v/>
      </c>
      <c r="U114" s="187" t="str" cm="1">
        <f t="array" ref="U114">Common_InputFunctions.Utility_DisplayArrayInTable(Fertiliser_SourceData.Fertiliser_Products_Data1(),FertiliserProducts[[#Headers],[Include or Exclude]], 0,4)</f>
        <v/>
      </c>
      <c r="V114" s="187" t="str" cm="1">
        <f t="array" ref="V114">Common_InputFunctions.Utility_DisplayArrayInTable(Fertiliser_SourceData.Fertiliser_Products_Data1(),FertiliserProducts[[#Headers],[Include or Exclude]], 0,4)</f>
        <v/>
      </c>
      <c r="W114" s="187" t="str" cm="1">
        <f t="array" ref="W114">Common_InputFunctions.Utility_DisplayArrayInTable(Fertiliser_SourceData.Fertiliser_Products_Data1(),FertiliserProducts[[#Headers],[Include or Exclude]], 0,4)</f>
        <v/>
      </c>
      <c r="X114" s="187" t="str" cm="1">
        <f t="array" ref="X114">Common_InputFunctions.Utility_DisplayArrayInTable(Fertiliser_SourceData.Fertiliser_Products_Data1(),FertiliserProducts[[#Headers],[Include or Exclude]], 0,4)</f>
        <v/>
      </c>
      <c r="Y114" s="187" t="str" cm="1">
        <f t="array" ref="Y114">Common_InputFunctions.Utility_DisplayArrayInTable(Fertiliser_SourceData.Fertiliser_Products_Data1(),FertiliserProducts[[#Headers],[Include or Exclude]], 0,4)</f>
        <v/>
      </c>
      <c r="Z114" s="187" t="str" cm="1">
        <f t="array" ref="Z114">Common_InputFunctions.Utility_DisplayArrayInTable(Fertiliser_SourceData.Fertiliser_Products_Data1(),FertiliserProducts[[#Headers],[Include or Exclude]], 0,4)</f>
        <v/>
      </c>
      <c r="AA114" s="187" t="str" cm="1">
        <f t="array" ref="AA114">Common_InputFunctions.Utility_DisplayArrayInTable(Fertiliser_SourceData.Fertiliser_Products_Data1(),FertiliserProducts[[#Headers],[Include or Exclude]], 0,4)</f>
        <v/>
      </c>
      <c r="AB114" s="187" t="str" cm="1">
        <f t="array" ref="AB114">Common_InputFunctions.Utility_DisplayArrayInTable(Fertiliser_SourceData.Fertiliser_Products_Data1(),FertiliserProducts[[#Headers],[Include or Exclude]], 0,4)</f>
        <v/>
      </c>
      <c r="AC114" s="187" t="str" cm="1">
        <f t="array" ref="AC114">Common_InputFunctions.Utility_DisplayArrayInTable(Fertiliser_SourceData.Fertiliser_Products_Data1(),FertiliserProducts[[#Headers],[Include or Exclude]], 0,4)</f>
        <v/>
      </c>
      <c r="AD114" s="187" t="str" cm="1">
        <f t="array" ref="AD114">Common_InputFunctions.Utility_DisplayArrayInTable(Fertiliser_SourceData.Fertiliser_Products_Data1(),FertiliserProducts[[#Headers],[Include or Exclude]], 0,4)</f>
        <v/>
      </c>
      <c r="AE114" s="187" t="str" cm="1">
        <f t="array" ref="AE114">Common_InputFunctions.Utility_DisplayArrayInTable(Fertiliser_SourceData.Fertiliser_Products_Data1(),FertiliserProducts[[#Headers],[Include or Exclude]], 0,4)</f>
        <v/>
      </c>
    </row>
    <row r="115" spans="4:31" ht="20.100000000000001" customHeight="1" x14ac:dyDescent="0.25">
      <c r="D115" s="187" t="str" cm="1">
        <f t="array" ref="D115">Common_InputFunctions.Utility_DisplayArrayInTable(Fertiliser_SourceData.Fertiliser_Products_Data1(),FertiliserProducts[[#Headers],[Include or Exclude]], -1)</f>
        <v/>
      </c>
      <c r="E115" s="187" t="str" cm="1">
        <f t="array" ref="E115">Common_InputFunctions.Utility_DisplayArrayInTable(Fertiliser_SourceData.Fertiliser_Products_Data1(),FertiliserProducts[[#Headers],[Include or Exclude]], 0)</f>
        <v/>
      </c>
      <c r="F115" s="187" t="str" cm="1">
        <f t="array" ref="F115">Common_InputFunctions.Utility_DisplayArrayInTable(Fertiliser_SourceData.Fertiliser_Products_Data1(),FertiliserProducts[[#Headers],[Include or Exclude]], 0)</f>
        <v/>
      </c>
      <c r="G115" s="187" t="str" cm="1">
        <f t="array" ref="G115">Common_InputFunctions.Utility_DisplayArrayInTable(Fertiliser_SourceData.Fertiliser_Products_Data1(),FertiliserProducts[[#Headers],[Include or Exclude]], 0)</f>
        <v/>
      </c>
      <c r="H115" s="187" t="str" cm="1">
        <f t="array" ref="H115">Common_InputFunctions.Utility_DisplayArrayInTable(Fertiliser_SourceData.Fertiliser_Products_Data1(),FertiliserProducts[[#Headers],[Include or Exclude]], 0,4)</f>
        <v/>
      </c>
      <c r="I115" s="187" t="str" cm="1">
        <f t="array" ref="I115">Common_InputFunctions.Utility_DisplayArrayInTable(Fertiliser_SourceData.Fertiliser_Products_Data1(),FertiliserProducts[[#Headers],[Include or Exclude]], 0,4)</f>
        <v/>
      </c>
      <c r="J115" s="187" t="str" cm="1">
        <f t="array" ref="J115">Common_InputFunctions.Utility_DisplayArrayInTable(Fertiliser_SourceData.Fertiliser_Products_Data1(),FertiliserProducts[[#Headers],[Include or Exclude]], 0,4)</f>
        <v/>
      </c>
      <c r="K115" s="187" t="str" cm="1">
        <f t="array" ref="K115">Common_InputFunctions.Utility_DisplayArrayInTable(Fertiliser_SourceData.Fertiliser_Products_Data1(),FertiliserProducts[[#Headers],[Include or Exclude]], 0,4)</f>
        <v/>
      </c>
      <c r="L115" s="187" t="str" cm="1">
        <f t="array" ref="L115">Common_InputFunctions.Utility_DisplayArrayInTable(Fertiliser_SourceData.Fertiliser_Products_Data1(),FertiliserProducts[[#Headers],[Include or Exclude]], 0,4)</f>
        <v/>
      </c>
      <c r="M115" s="187" t="str" cm="1">
        <f t="array" ref="M115">Common_InputFunctions.Utility_DisplayArrayInTable(Fertiliser_SourceData.Fertiliser_Products_Data1(),FertiliserProducts[[#Headers],[Include or Exclude]], 0,4)</f>
        <v/>
      </c>
      <c r="N115" s="187" t="str" cm="1">
        <f t="array" ref="N115">Common_InputFunctions.Utility_DisplayArrayInTable(Fertiliser_SourceData.Fertiliser_Products_Data1(),FertiliserProducts[[#Headers],[Include or Exclude]], 0,4)</f>
        <v/>
      </c>
      <c r="O115" s="187" t="str" cm="1">
        <f t="array" ref="O115">Common_InputFunctions.Utility_DisplayArrayInTable(Fertiliser_SourceData.Fertiliser_Products_Data1(),FertiliserProducts[[#Headers],[Include or Exclude]], 0,4)</f>
        <v/>
      </c>
      <c r="P115" s="187" t="str" cm="1">
        <f t="array" ref="P115">Common_InputFunctions.Utility_DisplayArrayInTable(Fertiliser_SourceData.Fertiliser_Products_Data1(),FertiliserProducts[[#Headers],[Include or Exclude]], 0,4)</f>
        <v/>
      </c>
      <c r="Q115" s="187" t="str" cm="1">
        <f t="array" ref="Q115">Common_InputFunctions.Utility_DisplayArrayInTable(Fertiliser_SourceData.Fertiliser_Products_Data1(),FertiliserProducts[[#Headers],[Include or Exclude]], 0,4)</f>
        <v/>
      </c>
      <c r="R115" s="187" t="str" cm="1">
        <f t="array" ref="R115">Common_InputFunctions.Utility_DisplayArrayInTable(Fertiliser_SourceData.Fertiliser_Products_Data1(),FertiliserProducts[[#Headers],[Include or Exclude]], 0,4)</f>
        <v/>
      </c>
      <c r="S115" s="187" t="str" cm="1">
        <f t="array" ref="S115">Common_InputFunctions.Utility_DisplayArrayInTable(Fertiliser_SourceData.Fertiliser_Products_Data1(),FertiliserProducts[[#Headers],[Include or Exclude]], 0,4)</f>
        <v/>
      </c>
      <c r="T115" s="187" t="str" cm="1">
        <f t="array" ref="T115">Common_InputFunctions.Utility_DisplayArrayInTable(Fertiliser_SourceData.Fertiliser_Products_Data1(),FertiliserProducts[[#Headers],[Include or Exclude]], 0,4)</f>
        <v/>
      </c>
      <c r="U115" s="187" t="str" cm="1">
        <f t="array" ref="U115">Common_InputFunctions.Utility_DisplayArrayInTable(Fertiliser_SourceData.Fertiliser_Products_Data1(),FertiliserProducts[[#Headers],[Include or Exclude]], 0,4)</f>
        <v/>
      </c>
      <c r="V115" s="187" t="str" cm="1">
        <f t="array" ref="V115">Common_InputFunctions.Utility_DisplayArrayInTable(Fertiliser_SourceData.Fertiliser_Products_Data1(),FertiliserProducts[[#Headers],[Include or Exclude]], 0,4)</f>
        <v/>
      </c>
      <c r="W115" s="187" t="str" cm="1">
        <f t="array" ref="W115">Common_InputFunctions.Utility_DisplayArrayInTable(Fertiliser_SourceData.Fertiliser_Products_Data1(),FertiliserProducts[[#Headers],[Include or Exclude]], 0,4)</f>
        <v/>
      </c>
      <c r="X115" s="187" t="str" cm="1">
        <f t="array" ref="X115">Common_InputFunctions.Utility_DisplayArrayInTable(Fertiliser_SourceData.Fertiliser_Products_Data1(),FertiliserProducts[[#Headers],[Include or Exclude]], 0,4)</f>
        <v/>
      </c>
      <c r="Y115" s="187" t="str" cm="1">
        <f t="array" ref="Y115">Common_InputFunctions.Utility_DisplayArrayInTable(Fertiliser_SourceData.Fertiliser_Products_Data1(),FertiliserProducts[[#Headers],[Include or Exclude]], 0,4)</f>
        <v/>
      </c>
      <c r="Z115" s="187" t="str" cm="1">
        <f t="array" ref="Z115">Common_InputFunctions.Utility_DisplayArrayInTable(Fertiliser_SourceData.Fertiliser_Products_Data1(),FertiliserProducts[[#Headers],[Include or Exclude]], 0,4)</f>
        <v/>
      </c>
      <c r="AA115" s="187" t="str" cm="1">
        <f t="array" ref="AA115">Common_InputFunctions.Utility_DisplayArrayInTable(Fertiliser_SourceData.Fertiliser_Products_Data1(),FertiliserProducts[[#Headers],[Include or Exclude]], 0,4)</f>
        <v/>
      </c>
      <c r="AB115" s="187" t="str" cm="1">
        <f t="array" ref="AB115">Common_InputFunctions.Utility_DisplayArrayInTable(Fertiliser_SourceData.Fertiliser_Products_Data1(),FertiliserProducts[[#Headers],[Include or Exclude]], 0,4)</f>
        <v/>
      </c>
      <c r="AC115" s="187" t="str" cm="1">
        <f t="array" ref="AC115">Common_InputFunctions.Utility_DisplayArrayInTable(Fertiliser_SourceData.Fertiliser_Products_Data1(),FertiliserProducts[[#Headers],[Include or Exclude]], 0,4)</f>
        <v/>
      </c>
      <c r="AD115" s="187" t="str" cm="1">
        <f t="array" ref="AD115">Common_InputFunctions.Utility_DisplayArrayInTable(Fertiliser_SourceData.Fertiliser_Products_Data1(),FertiliserProducts[[#Headers],[Include or Exclude]], 0,4)</f>
        <v/>
      </c>
      <c r="AE115" s="187" t="str" cm="1">
        <f t="array" ref="AE115">Common_InputFunctions.Utility_DisplayArrayInTable(Fertiliser_SourceData.Fertiliser_Products_Data1(),FertiliserProducts[[#Headers],[Include or Exclude]], 0,4)</f>
        <v/>
      </c>
    </row>
    <row r="116" spans="4:31" ht="20.100000000000001" customHeight="1" x14ac:dyDescent="0.25">
      <c r="D116" s="187" t="str" cm="1">
        <f t="array" ref="D116">Common_InputFunctions.Utility_DisplayArrayInTable(Fertiliser_SourceData.Fertiliser_Products_Data1(),FertiliserProducts[[#Headers],[Include or Exclude]], -1)</f>
        <v/>
      </c>
      <c r="E116" s="187" t="str" cm="1">
        <f t="array" ref="E116">Common_InputFunctions.Utility_DisplayArrayInTable(Fertiliser_SourceData.Fertiliser_Products_Data1(),FertiliserProducts[[#Headers],[Include or Exclude]], 0)</f>
        <v/>
      </c>
      <c r="F116" s="187" t="str" cm="1">
        <f t="array" ref="F116">Common_InputFunctions.Utility_DisplayArrayInTable(Fertiliser_SourceData.Fertiliser_Products_Data1(),FertiliserProducts[[#Headers],[Include or Exclude]], 0)</f>
        <v/>
      </c>
      <c r="G116" s="187" t="str" cm="1">
        <f t="array" ref="G116">Common_InputFunctions.Utility_DisplayArrayInTable(Fertiliser_SourceData.Fertiliser_Products_Data1(),FertiliserProducts[[#Headers],[Include or Exclude]], 0)</f>
        <v/>
      </c>
      <c r="H116" s="187" t="str" cm="1">
        <f t="array" ref="H116">Common_InputFunctions.Utility_DisplayArrayInTable(Fertiliser_SourceData.Fertiliser_Products_Data1(),FertiliserProducts[[#Headers],[Include or Exclude]], 0,4)</f>
        <v/>
      </c>
      <c r="I116" s="187" t="str" cm="1">
        <f t="array" ref="I116">Common_InputFunctions.Utility_DisplayArrayInTable(Fertiliser_SourceData.Fertiliser_Products_Data1(),FertiliserProducts[[#Headers],[Include or Exclude]], 0,4)</f>
        <v/>
      </c>
      <c r="J116" s="187" t="str" cm="1">
        <f t="array" ref="J116">Common_InputFunctions.Utility_DisplayArrayInTable(Fertiliser_SourceData.Fertiliser_Products_Data1(),FertiliserProducts[[#Headers],[Include or Exclude]], 0,4)</f>
        <v/>
      </c>
      <c r="K116" s="187" t="str" cm="1">
        <f t="array" ref="K116">Common_InputFunctions.Utility_DisplayArrayInTable(Fertiliser_SourceData.Fertiliser_Products_Data1(),FertiliserProducts[[#Headers],[Include or Exclude]], 0,4)</f>
        <v/>
      </c>
      <c r="L116" s="187" t="str" cm="1">
        <f t="array" ref="L116">Common_InputFunctions.Utility_DisplayArrayInTable(Fertiliser_SourceData.Fertiliser_Products_Data1(),FertiliserProducts[[#Headers],[Include or Exclude]], 0,4)</f>
        <v/>
      </c>
      <c r="M116" s="187" t="str" cm="1">
        <f t="array" ref="M116">Common_InputFunctions.Utility_DisplayArrayInTable(Fertiliser_SourceData.Fertiliser_Products_Data1(),FertiliserProducts[[#Headers],[Include or Exclude]], 0,4)</f>
        <v/>
      </c>
      <c r="N116" s="187" t="str" cm="1">
        <f t="array" ref="N116">Common_InputFunctions.Utility_DisplayArrayInTable(Fertiliser_SourceData.Fertiliser_Products_Data1(),FertiliserProducts[[#Headers],[Include or Exclude]], 0,4)</f>
        <v/>
      </c>
      <c r="O116" s="187" t="str" cm="1">
        <f t="array" ref="O116">Common_InputFunctions.Utility_DisplayArrayInTable(Fertiliser_SourceData.Fertiliser_Products_Data1(),FertiliserProducts[[#Headers],[Include or Exclude]], 0,4)</f>
        <v/>
      </c>
      <c r="P116" s="187" t="str" cm="1">
        <f t="array" ref="P116">Common_InputFunctions.Utility_DisplayArrayInTable(Fertiliser_SourceData.Fertiliser_Products_Data1(),FertiliserProducts[[#Headers],[Include or Exclude]], 0,4)</f>
        <v/>
      </c>
      <c r="Q116" s="187" t="str" cm="1">
        <f t="array" ref="Q116">Common_InputFunctions.Utility_DisplayArrayInTable(Fertiliser_SourceData.Fertiliser_Products_Data1(),FertiliserProducts[[#Headers],[Include or Exclude]], 0,4)</f>
        <v/>
      </c>
      <c r="R116" s="187" t="str" cm="1">
        <f t="array" ref="R116">Common_InputFunctions.Utility_DisplayArrayInTable(Fertiliser_SourceData.Fertiliser_Products_Data1(),FertiliserProducts[[#Headers],[Include or Exclude]], 0,4)</f>
        <v/>
      </c>
      <c r="S116" s="187" t="str" cm="1">
        <f t="array" ref="S116">Common_InputFunctions.Utility_DisplayArrayInTable(Fertiliser_SourceData.Fertiliser_Products_Data1(),FertiliserProducts[[#Headers],[Include or Exclude]], 0,4)</f>
        <v/>
      </c>
      <c r="T116" s="187" t="str" cm="1">
        <f t="array" ref="T116">Common_InputFunctions.Utility_DisplayArrayInTable(Fertiliser_SourceData.Fertiliser_Products_Data1(),FertiliserProducts[[#Headers],[Include or Exclude]], 0,4)</f>
        <v/>
      </c>
      <c r="U116" s="187" t="str" cm="1">
        <f t="array" ref="U116">Common_InputFunctions.Utility_DisplayArrayInTable(Fertiliser_SourceData.Fertiliser_Products_Data1(),FertiliserProducts[[#Headers],[Include or Exclude]], 0,4)</f>
        <v/>
      </c>
      <c r="V116" s="187" t="str" cm="1">
        <f t="array" ref="V116">Common_InputFunctions.Utility_DisplayArrayInTable(Fertiliser_SourceData.Fertiliser_Products_Data1(),FertiliserProducts[[#Headers],[Include or Exclude]], 0,4)</f>
        <v/>
      </c>
      <c r="W116" s="187" t="str" cm="1">
        <f t="array" ref="W116">Common_InputFunctions.Utility_DisplayArrayInTable(Fertiliser_SourceData.Fertiliser_Products_Data1(),FertiliserProducts[[#Headers],[Include or Exclude]], 0,4)</f>
        <v/>
      </c>
      <c r="X116" s="187" t="str" cm="1">
        <f t="array" ref="X116">Common_InputFunctions.Utility_DisplayArrayInTable(Fertiliser_SourceData.Fertiliser_Products_Data1(),FertiliserProducts[[#Headers],[Include or Exclude]], 0,4)</f>
        <v/>
      </c>
      <c r="Y116" s="187" t="str" cm="1">
        <f t="array" ref="Y116">Common_InputFunctions.Utility_DisplayArrayInTable(Fertiliser_SourceData.Fertiliser_Products_Data1(),FertiliserProducts[[#Headers],[Include or Exclude]], 0,4)</f>
        <v/>
      </c>
      <c r="Z116" s="187" t="str" cm="1">
        <f t="array" ref="Z116">Common_InputFunctions.Utility_DisplayArrayInTable(Fertiliser_SourceData.Fertiliser_Products_Data1(),FertiliserProducts[[#Headers],[Include or Exclude]], 0,4)</f>
        <v/>
      </c>
      <c r="AA116" s="187" t="str" cm="1">
        <f t="array" ref="AA116">Common_InputFunctions.Utility_DisplayArrayInTable(Fertiliser_SourceData.Fertiliser_Products_Data1(),FertiliserProducts[[#Headers],[Include or Exclude]], 0,4)</f>
        <v/>
      </c>
      <c r="AB116" s="187" t="str" cm="1">
        <f t="array" ref="AB116">Common_InputFunctions.Utility_DisplayArrayInTable(Fertiliser_SourceData.Fertiliser_Products_Data1(),FertiliserProducts[[#Headers],[Include or Exclude]], 0,4)</f>
        <v/>
      </c>
      <c r="AC116" s="187" t="str" cm="1">
        <f t="array" ref="AC116">Common_InputFunctions.Utility_DisplayArrayInTable(Fertiliser_SourceData.Fertiliser_Products_Data1(),FertiliserProducts[[#Headers],[Include or Exclude]], 0,4)</f>
        <v/>
      </c>
      <c r="AD116" s="187" t="str" cm="1">
        <f t="array" ref="AD116">Common_InputFunctions.Utility_DisplayArrayInTable(Fertiliser_SourceData.Fertiliser_Products_Data1(),FertiliserProducts[[#Headers],[Include or Exclude]], 0,4)</f>
        <v/>
      </c>
      <c r="AE116" s="187" t="str" cm="1">
        <f t="array" ref="AE116">Common_InputFunctions.Utility_DisplayArrayInTable(Fertiliser_SourceData.Fertiliser_Products_Data1(),FertiliserProducts[[#Headers],[Include or Exclude]], 0,4)</f>
        <v/>
      </c>
    </row>
    <row r="117" spans="4:31" ht="20.100000000000001" customHeight="1" x14ac:dyDescent="0.25">
      <c r="D117" s="187" t="str" cm="1">
        <f t="array" ref="D117">Common_InputFunctions.Utility_DisplayArrayInTable(Fertiliser_SourceData.Fertiliser_Products_Data1(),FertiliserProducts[[#Headers],[Include or Exclude]], -1)</f>
        <v/>
      </c>
      <c r="E117" s="187" t="str" cm="1">
        <f t="array" ref="E117">Common_InputFunctions.Utility_DisplayArrayInTable(Fertiliser_SourceData.Fertiliser_Products_Data1(),FertiliserProducts[[#Headers],[Include or Exclude]], 0)</f>
        <v/>
      </c>
      <c r="F117" s="187" t="str" cm="1">
        <f t="array" ref="F117">Common_InputFunctions.Utility_DisplayArrayInTable(Fertiliser_SourceData.Fertiliser_Products_Data1(),FertiliserProducts[[#Headers],[Include or Exclude]], 0)</f>
        <v/>
      </c>
      <c r="G117" s="187" t="str" cm="1">
        <f t="array" ref="G117">Common_InputFunctions.Utility_DisplayArrayInTable(Fertiliser_SourceData.Fertiliser_Products_Data1(),FertiliserProducts[[#Headers],[Include or Exclude]], 0)</f>
        <v/>
      </c>
      <c r="H117" s="187" t="str" cm="1">
        <f t="array" ref="H117">Common_InputFunctions.Utility_DisplayArrayInTable(Fertiliser_SourceData.Fertiliser_Products_Data1(),FertiliserProducts[[#Headers],[Include or Exclude]], 0,4)</f>
        <v/>
      </c>
      <c r="I117" s="187" t="str" cm="1">
        <f t="array" ref="I117">Common_InputFunctions.Utility_DisplayArrayInTable(Fertiliser_SourceData.Fertiliser_Products_Data1(),FertiliserProducts[[#Headers],[Include or Exclude]], 0,4)</f>
        <v/>
      </c>
      <c r="J117" s="187" t="str" cm="1">
        <f t="array" ref="J117">Common_InputFunctions.Utility_DisplayArrayInTable(Fertiliser_SourceData.Fertiliser_Products_Data1(),FertiliserProducts[[#Headers],[Include or Exclude]], 0,4)</f>
        <v/>
      </c>
      <c r="K117" s="187" t="str" cm="1">
        <f t="array" ref="K117">Common_InputFunctions.Utility_DisplayArrayInTable(Fertiliser_SourceData.Fertiliser_Products_Data1(),FertiliserProducts[[#Headers],[Include or Exclude]], 0,4)</f>
        <v/>
      </c>
      <c r="L117" s="187" t="str" cm="1">
        <f t="array" ref="L117">Common_InputFunctions.Utility_DisplayArrayInTable(Fertiliser_SourceData.Fertiliser_Products_Data1(),FertiliserProducts[[#Headers],[Include or Exclude]], 0,4)</f>
        <v/>
      </c>
      <c r="M117" s="187" t="str" cm="1">
        <f t="array" ref="M117">Common_InputFunctions.Utility_DisplayArrayInTable(Fertiliser_SourceData.Fertiliser_Products_Data1(),FertiliserProducts[[#Headers],[Include or Exclude]], 0,4)</f>
        <v/>
      </c>
      <c r="N117" s="187" t="str" cm="1">
        <f t="array" ref="N117">Common_InputFunctions.Utility_DisplayArrayInTable(Fertiliser_SourceData.Fertiliser_Products_Data1(),FertiliserProducts[[#Headers],[Include or Exclude]], 0,4)</f>
        <v/>
      </c>
      <c r="O117" s="187" t="str" cm="1">
        <f t="array" ref="O117">Common_InputFunctions.Utility_DisplayArrayInTable(Fertiliser_SourceData.Fertiliser_Products_Data1(),FertiliserProducts[[#Headers],[Include or Exclude]], 0,4)</f>
        <v/>
      </c>
      <c r="P117" s="187" t="str" cm="1">
        <f t="array" ref="P117">Common_InputFunctions.Utility_DisplayArrayInTable(Fertiliser_SourceData.Fertiliser_Products_Data1(),FertiliserProducts[[#Headers],[Include or Exclude]], 0,4)</f>
        <v/>
      </c>
      <c r="Q117" s="187" t="str" cm="1">
        <f t="array" ref="Q117">Common_InputFunctions.Utility_DisplayArrayInTable(Fertiliser_SourceData.Fertiliser_Products_Data1(),FertiliserProducts[[#Headers],[Include or Exclude]], 0,4)</f>
        <v/>
      </c>
      <c r="R117" s="187" t="str" cm="1">
        <f t="array" ref="R117">Common_InputFunctions.Utility_DisplayArrayInTable(Fertiliser_SourceData.Fertiliser_Products_Data1(),FertiliserProducts[[#Headers],[Include or Exclude]], 0,4)</f>
        <v/>
      </c>
      <c r="S117" s="187" t="str" cm="1">
        <f t="array" ref="S117">Common_InputFunctions.Utility_DisplayArrayInTable(Fertiliser_SourceData.Fertiliser_Products_Data1(),FertiliserProducts[[#Headers],[Include or Exclude]], 0,4)</f>
        <v/>
      </c>
      <c r="T117" s="187" t="str" cm="1">
        <f t="array" ref="T117">Common_InputFunctions.Utility_DisplayArrayInTable(Fertiliser_SourceData.Fertiliser_Products_Data1(),FertiliserProducts[[#Headers],[Include or Exclude]], 0,4)</f>
        <v/>
      </c>
      <c r="U117" s="187" t="str" cm="1">
        <f t="array" ref="U117">Common_InputFunctions.Utility_DisplayArrayInTable(Fertiliser_SourceData.Fertiliser_Products_Data1(),FertiliserProducts[[#Headers],[Include or Exclude]], 0,4)</f>
        <v/>
      </c>
      <c r="V117" s="187" t="str" cm="1">
        <f t="array" ref="V117">Common_InputFunctions.Utility_DisplayArrayInTable(Fertiliser_SourceData.Fertiliser_Products_Data1(),FertiliserProducts[[#Headers],[Include or Exclude]], 0,4)</f>
        <v/>
      </c>
      <c r="W117" s="187" t="str" cm="1">
        <f t="array" ref="W117">Common_InputFunctions.Utility_DisplayArrayInTable(Fertiliser_SourceData.Fertiliser_Products_Data1(),FertiliserProducts[[#Headers],[Include or Exclude]], 0,4)</f>
        <v/>
      </c>
      <c r="X117" s="187" t="str" cm="1">
        <f t="array" ref="X117">Common_InputFunctions.Utility_DisplayArrayInTable(Fertiliser_SourceData.Fertiliser_Products_Data1(),FertiliserProducts[[#Headers],[Include or Exclude]], 0,4)</f>
        <v/>
      </c>
      <c r="Y117" s="187" t="str" cm="1">
        <f t="array" ref="Y117">Common_InputFunctions.Utility_DisplayArrayInTable(Fertiliser_SourceData.Fertiliser_Products_Data1(),FertiliserProducts[[#Headers],[Include or Exclude]], 0,4)</f>
        <v/>
      </c>
      <c r="Z117" s="187" t="str" cm="1">
        <f t="array" ref="Z117">Common_InputFunctions.Utility_DisplayArrayInTable(Fertiliser_SourceData.Fertiliser_Products_Data1(),FertiliserProducts[[#Headers],[Include or Exclude]], 0,4)</f>
        <v/>
      </c>
      <c r="AA117" s="187" t="str" cm="1">
        <f t="array" ref="AA117">Common_InputFunctions.Utility_DisplayArrayInTable(Fertiliser_SourceData.Fertiliser_Products_Data1(),FertiliserProducts[[#Headers],[Include or Exclude]], 0,4)</f>
        <v/>
      </c>
      <c r="AB117" s="187" t="str" cm="1">
        <f t="array" ref="AB117">Common_InputFunctions.Utility_DisplayArrayInTable(Fertiliser_SourceData.Fertiliser_Products_Data1(),FertiliserProducts[[#Headers],[Include or Exclude]], 0,4)</f>
        <v/>
      </c>
      <c r="AC117" s="187" t="str" cm="1">
        <f t="array" ref="AC117">Common_InputFunctions.Utility_DisplayArrayInTable(Fertiliser_SourceData.Fertiliser_Products_Data1(),FertiliserProducts[[#Headers],[Include or Exclude]], 0,4)</f>
        <v/>
      </c>
      <c r="AD117" s="187" t="str" cm="1">
        <f t="array" ref="AD117">Common_InputFunctions.Utility_DisplayArrayInTable(Fertiliser_SourceData.Fertiliser_Products_Data1(),FertiliserProducts[[#Headers],[Include or Exclude]], 0,4)</f>
        <v/>
      </c>
      <c r="AE117" s="187" t="str" cm="1">
        <f t="array" ref="AE117">Common_InputFunctions.Utility_DisplayArrayInTable(Fertiliser_SourceData.Fertiliser_Products_Data1(),FertiliserProducts[[#Headers],[Include or Exclude]], 0,4)</f>
        <v/>
      </c>
    </row>
    <row r="118" spans="4:31" ht="20.100000000000001" customHeight="1" x14ac:dyDescent="0.25">
      <c r="D118" s="187" t="str" cm="1">
        <f t="array" ref="D118">Common_InputFunctions.Utility_DisplayArrayInTable(Fertiliser_SourceData.Fertiliser_Products_Data1(),FertiliserProducts[[#Headers],[Include or Exclude]], -1)</f>
        <v/>
      </c>
      <c r="E118" s="187" t="str" cm="1">
        <f t="array" ref="E118">Common_InputFunctions.Utility_DisplayArrayInTable(Fertiliser_SourceData.Fertiliser_Products_Data1(),FertiliserProducts[[#Headers],[Include or Exclude]], 0)</f>
        <v/>
      </c>
      <c r="F118" s="187" t="str" cm="1">
        <f t="array" ref="F118">Common_InputFunctions.Utility_DisplayArrayInTable(Fertiliser_SourceData.Fertiliser_Products_Data1(),FertiliserProducts[[#Headers],[Include or Exclude]], 0)</f>
        <v/>
      </c>
      <c r="G118" s="187" t="str" cm="1">
        <f t="array" ref="G118">Common_InputFunctions.Utility_DisplayArrayInTable(Fertiliser_SourceData.Fertiliser_Products_Data1(),FertiliserProducts[[#Headers],[Include or Exclude]], 0)</f>
        <v/>
      </c>
      <c r="H118" s="187" t="str" cm="1">
        <f t="array" ref="H118">Common_InputFunctions.Utility_DisplayArrayInTable(Fertiliser_SourceData.Fertiliser_Products_Data1(),FertiliserProducts[[#Headers],[Include or Exclude]], 0,4)</f>
        <v/>
      </c>
      <c r="I118" s="187" t="str" cm="1">
        <f t="array" ref="I118">Common_InputFunctions.Utility_DisplayArrayInTable(Fertiliser_SourceData.Fertiliser_Products_Data1(),FertiliserProducts[[#Headers],[Include or Exclude]], 0,4)</f>
        <v/>
      </c>
      <c r="J118" s="187" t="str" cm="1">
        <f t="array" ref="J118">Common_InputFunctions.Utility_DisplayArrayInTable(Fertiliser_SourceData.Fertiliser_Products_Data1(),FertiliserProducts[[#Headers],[Include or Exclude]], 0,4)</f>
        <v/>
      </c>
      <c r="K118" s="187" t="str" cm="1">
        <f t="array" ref="K118">Common_InputFunctions.Utility_DisplayArrayInTable(Fertiliser_SourceData.Fertiliser_Products_Data1(),FertiliserProducts[[#Headers],[Include or Exclude]], 0,4)</f>
        <v/>
      </c>
      <c r="L118" s="187" t="str" cm="1">
        <f t="array" ref="L118">Common_InputFunctions.Utility_DisplayArrayInTable(Fertiliser_SourceData.Fertiliser_Products_Data1(),FertiliserProducts[[#Headers],[Include or Exclude]], 0,4)</f>
        <v/>
      </c>
      <c r="M118" s="187" t="str" cm="1">
        <f t="array" ref="M118">Common_InputFunctions.Utility_DisplayArrayInTable(Fertiliser_SourceData.Fertiliser_Products_Data1(),FertiliserProducts[[#Headers],[Include or Exclude]], 0,4)</f>
        <v/>
      </c>
      <c r="N118" s="187" t="str" cm="1">
        <f t="array" ref="N118">Common_InputFunctions.Utility_DisplayArrayInTable(Fertiliser_SourceData.Fertiliser_Products_Data1(),FertiliserProducts[[#Headers],[Include or Exclude]], 0,4)</f>
        <v/>
      </c>
      <c r="O118" s="187" t="str" cm="1">
        <f t="array" ref="O118">Common_InputFunctions.Utility_DisplayArrayInTable(Fertiliser_SourceData.Fertiliser_Products_Data1(),FertiliserProducts[[#Headers],[Include or Exclude]], 0,4)</f>
        <v/>
      </c>
      <c r="P118" s="187" t="str" cm="1">
        <f t="array" ref="P118">Common_InputFunctions.Utility_DisplayArrayInTable(Fertiliser_SourceData.Fertiliser_Products_Data1(),FertiliserProducts[[#Headers],[Include or Exclude]], 0,4)</f>
        <v/>
      </c>
      <c r="Q118" s="187" t="str" cm="1">
        <f t="array" ref="Q118">Common_InputFunctions.Utility_DisplayArrayInTable(Fertiliser_SourceData.Fertiliser_Products_Data1(),FertiliserProducts[[#Headers],[Include or Exclude]], 0,4)</f>
        <v/>
      </c>
      <c r="R118" s="187" t="str" cm="1">
        <f t="array" ref="R118">Common_InputFunctions.Utility_DisplayArrayInTable(Fertiliser_SourceData.Fertiliser_Products_Data1(),FertiliserProducts[[#Headers],[Include or Exclude]], 0,4)</f>
        <v/>
      </c>
      <c r="S118" s="187" t="str" cm="1">
        <f t="array" ref="S118">Common_InputFunctions.Utility_DisplayArrayInTable(Fertiliser_SourceData.Fertiliser_Products_Data1(),FertiliserProducts[[#Headers],[Include or Exclude]], 0,4)</f>
        <v/>
      </c>
      <c r="T118" s="187" t="str" cm="1">
        <f t="array" ref="T118">Common_InputFunctions.Utility_DisplayArrayInTable(Fertiliser_SourceData.Fertiliser_Products_Data1(),FertiliserProducts[[#Headers],[Include or Exclude]], 0,4)</f>
        <v/>
      </c>
      <c r="U118" s="187" t="str" cm="1">
        <f t="array" ref="U118">Common_InputFunctions.Utility_DisplayArrayInTable(Fertiliser_SourceData.Fertiliser_Products_Data1(),FertiliserProducts[[#Headers],[Include or Exclude]], 0,4)</f>
        <v/>
      </c>
      <c r="V118" s="187" t="str" cm="1">
        <f t="array" ref="V118">Common_InputFunctions.Utility_DisplayArrayInTable(Fertiliser_SourceData.Fertiliser_Products_Data1(),FertiliserProducts[[#Headers],[Include or Exclude]], 0,4)</f>
        <v/>
      </c>
      <c r="W118" s="187" t="str" cm="1">
        <f t="array" ref="W118">Common_InputFunctions.Utility_DisplayArrayInTable(Fertiliser_SourceData.Fertiliser_Products_Data1(),FertiliserProducts[[#Headers],[Include or Exclude]], 0,4)</f>
        <v/>
      </c>
      <c r="X118" s="187" t="str" cm="1">
        <f t="array" ref="X118">Common_InputFunctions.Utility_DisplayArrayInTable(Fertiliser_SourceData.Fertiliser_Products_Data1(),FertiliserProducts[[#Headers],[Include or Exclude]], 0,4)</f>
        <v/>
      </c>
      <c r="Y118" s="187" t="str" cm="1">
        <f t="array" ref="Y118">Common_InputFunctions.Utility_DisplayArrayInTable(Fertiliser_SourceData.Fertiliser_Products_Data1(),FertiliserProducts[[#Headers],[Include or Exclude]], 0,4)</f>
        <v/>
      </c>
      <c r="Z118" s="187" t="str" cm="1">
        <f t="array" ref="Z118">Common_InputFunctions.Utility_DisplayArrayInTable(Fertiliser_SourceData.Fertiliser_Products_Data1(),FertiliserProducts[[#Headers],[Include or Exclude]], 0,4)</f>
        <v/>
      </c>
      <c r="AA118" s="187" t="str" cm="1">
        <f t="array" ref="AA118">Common_InputFunctions.Utility_DisplayArrayInTable(Fertiliser_SourceData.Fertiliser_Products_Data1(),FertiliserProducts[[#Headers],[Include or Exclude]], 0,4)</f>
        <v/>
      </c>
      <c r="AB118" s="187" t="str" cm="1">
        <f t="array" ref="AB118">Common_InputFunctions.Utility_DisplayArrayInTable(Fertiliser_SourceData.Fertiliser_Products_Data1(),FertiliserProducts[[#Headers],[Include or Exclude]], 0,4)</f>
        <v/>
      </c>
      <c r="AC118" s="187" t="str" cm="1">
        <f t="array" ref="AC118">Common_InputFunctions.Utility_DisplayArrayInTable(Fertiliser_SourceData.Fertiliser_Products_Data1(),FertiliserProducts[[#Headers],[Include or Exclude]], 0,4)</f>
        <v/>
      </c>
      <c r="AD118" s="187" t="str" cm="1">
        <f t="array" ref="AD118">Common_InputFunctions.Utility_DisplayArrayInTable(Fertiliser_SourceData.Fertiliser_Products_Data1(),FertiliserProducts[[#Headers],[Include or Exclude]], 0,4)</f>
        <v/>
      </c>
      <c r="AE118" s="187" t="str" cm="1">
        <f t="array" ref="AE118">Common_InputFunctions.Utility_DisplayArrayInTable(Fertiliser_SourceData.Fertiliser_Products_Data1(),FertiliserProducts[[#Headers],[Include or Exclude]], 0,4)</f>
        <v/>
      </c>
    </row>
    <row r="119" spans="4:31" ht="20.100000000000001" customHeight="1" x14ac:dyDescent="0.25">
      <c r="D119" s="187" t="str" cm="1">
        <f t="array" ref="D119">Common_InputFunctions.Utility_DisplayArrayInTable(Fertiliser_SourceData.Fertiliser_Products_Data1(),FertiliserProducts[[#Headers],[Include or Exclude]], -1)</f>
        <v/>
      </c>
      <c r="E119" s="187" t="str" cm="1">
        <f t="array" ref="E119">Common_InputFunctions.Utility_DisplayArrayInTable(Fertiliser_SourceData.Fertiliser_Products_Data1(),FertiliserProducts[[#Headers],[Include or Exclude]], 0)</f>
        <v/>
      </c>
      <c r="F119" s="187" t="str" cm="1">
        <f t="array" ref="F119">Common_InputFunctions.Utility_DisplayArrayInTable(Fertiliser_SourceData.Fertiliser_Products_Data1(),FertiliserProducts[[#Headers],[Include or Exclude]], 0)</f>
        <v/>
      </c>
      <c r="G119" s="187" t="str" cm="1">
        <f t="array" ref="G119">Common_InputFunctions.Utility_DisplayArrayInTable(Fertiliser_SourceData.Fertiliser_Products_Data1(),FertiliserProducts[[#Headers],[Include or Exclude]], 0)</f>
        <v/>
      </c>
      <c r="H119" s="187" t="str" cm="1">
        <f t="array" ref="H119">Common_InputFunctions.Utility_DisplayArrayInTable(Fertiliser_SourceData.Fertiliser_Products_Data1(),FertiliserProducts[[#Headers],[Include or Exclude]], 0,4)</f>
        <v/>
      </c>
      <c r="I119" s="187" t="str" cm="1">
        <f t="array" ref="I119">Common_InputFunctions.Utility_DisplayArrayInTable(Fertiliser_SourceData.Fertiliser_Products_Data1(),FertiliserProducts[[#Headers],[Include or Exclude]], 0,4)</f>
        <v/>
      </c>
      <c r="J119" s="187" t="str" cm="1">
        <f t="array" ref="J119">Common_InputFunctions.Utility_DisplayArrayInTable(Fertiliser_SourceData.Fertiliser_Products_Data1(),FertiliserProducts[[#Headers],[Include or Exclude]], 0,4)</f>
        <v/>
      </c>
      <c r="K119" s="187" t="str" cm="1">
        <f t="array" ref="K119">Common_InputFunctions.Utility_DisplayArrayInTable(Fertiliser_SourceData.Fertiliser_Products_Data1(),FertiliserProducts[[#Headers],[Include or Exclude]], 0,4)</f>
        <v/>
      </c>
      <c r="L119" s="187" t="str" cm="1">
        <f t="array" ref="L119">Common_InputFunctions.Utility_DisplayArrayInTable(Fertiliser_SourceData.Fertiliser_Products_Data1(),FertiliserProducts[[#Headers],[Include or Exclude]], 0,4)</f>
        <v/>
      </c>
      <c r="M119" s="187" t="str" cm="1">
        <f t="array" ref="M119">Common_InputFunctions.Utility_DisplayArrayInTable(Fertiliser_SourceData.Fertiliser_Products_Data1(),FertiliserProducts[[#Headers],[Include or Exclude]], 0,4)</f>
        <v/>
      </c>
      <c r="N119" s="187" t="str" cm="1">
        <f t="array" ref="N119">Common_InputFunctions.Utility_DisplayArrayInTable(Fertiliser_SourceData.Fertiliser_Products_Data1(),FertiliserProducts[[#Headers],[Include or Exclude]], 0,4)</f>
        <v/>
      </c>
      <c r="O119" s="187" t="str" cm="1">
        <f t="array" ref="O119">Common_InputFunctions.Utility_DisplayArrayInTable(Fertiliser_SourceData.Fertiliser_Products_Data1(),FertiliserProducts[[#Headers],[Include or Exclude]], 0,4)</f>
        <v/>
      </c>
      <c r="P119" s="187" t="str" cm="1">
        <f t="array" ref="P119">Common_InputFunctions.Utility_DisplayArrayInTable(Fertiliser_SourceData.Fertiliser_Products_Data1(),FertiliserProducts[[#Headers],[Include or Exclude]], 0,4)</f>
        <v/>
      </c>
      <c r="Q119" s="187" t="str" cm="1">
        <f t="array" ref="Q119">Common_InputFunctions.Utility_DisplayArrayInTable(Fertiliser_SourceData.Fertiliser_Products_Data1(),FertiliserProducts[[#Headers],[Include or Exclude]], 0,4)</f>
        <v/>
      </c>
      <c r="R119" s="187" t="str" cm="1">
        <f t="array" ref="R119">Common_InputFunctions.Utility_DisplayArrayInTable(Fertiliser_SourceData.Fertiliser_Products_Data1(),FertiliserProducts[[#Headers],[Include or Exclude]], 0,4)</f>
        <v/>
      </c>
      <c r="S119" s="187" t="str" cm="1">
        <f t="array" ref="S119">Common_InputFunctions.Utility_DisplayArrayInTable(Fertiliser_SourceData.Fertiliser_Products_Data1(),FertiliserProducts[[#Headers],[Include or Exclude]], 0,4)</f>
        <v/>
      </c>
      <c r="T119" s="187" t="str" cm="1">
        <f t="array" ref="T119">Common_InputFunctions.Utility_DisplayArrayInTable(Fertiliser_SourceData.Fertiliser_Products_Data1(),FertiliserProducts[[#Headers],[Include or Exclude]], 0,4)</f>
        <v/>
      </c>
      <c r="U119" s="187" t="str" cm="1">
        <f t="array" ref="U119">Common_InputFunctions.Utility_DisplayArrayInTable(Fertiliser_SourceData.Fertiliser_Products_Data1(),FertiliserProducts[[#Headers],[Include or Exclude]], 0,4)</f>
        <v/>
      </c>
      <c r="V119" s="187" t="str" cm="1">
        <f t="array" ref="V119">Common_InputFunctions.Utility_DisplayArrayInTable(Fertiliser_SourceData.Fertiliser_Products_Data1(),FertiliserProducts[[#Headers],[Include or Exclude]], 0,4)</f>
        <v/>
      </c>
      <c r="W119" s="187" t="str" cm="1">
        <f t="array" ref="W119">Common_InputFunctions.Utility_DisplayArrayInTable(Fertiliser_SourceData.Fertiliser_Products_Data1(),FertiliserProducts[[#Headers],[Include or Exclude]], 0,4)</f>
        <v/>
      </c>
      <c r="X119" s="187" t="str" cm="1">
        <f t="array" ref="X119">Common_InputFunctions.Utility_DisplayArrayInTable(Fertiliser_SourceData.Fertiliser_Products_Data1(),FertiliserProducts[[#Headers],[Include or Exclude]], 0,4)</f>
        <v/>
      </c>
      <c r="Y119" s="187" t="str" cm="1">
        <f t="array" ref="Y119">Common_InputFunctions.Utility_DisplayArrayInTable(Fertiliser_SourceData.Fertiliser_Products_Data1(),FertiliserProducts[[#Headers],[Include or Exclude]], 0,4)</f>
        <v/>
      </c>
      <c r="Z119" s="187" t="str" cm="1">
        <f t="array" ref="Z119">Common_InputFunctions.Utility_DisplayArrayInTable(Fertiliser_SourceData.Fertiliser_Products_Data1(),FertiliserProducts[[#Headers],[Include or Exclude]], 0,4)</f>
        <v/>
      </c>
      <c r="AA119" s="187" t="str" cm="1">
        <f t="array" ref="AA119">Common_InputFunctions.Utility_DisplayArrayInTable(Fertiliser_SourceData.Fertiliser_Products_Data1(),FertiliserProducts[[#Headers],[Include or Exclude]], 0,4)</f>
        <v/>
      </c>
      <c r="AB119" s="187" t="str" cm="1">
        <f t="array" ref="AB119">Common_InputFunctions.Utility_DisplayArrayInTable(Fertiliser_SourceData.Fertiliser_Products_Data1(),FertiliserProducts[[#Headers],[Include or Exclude]], 0,4)</f>
        <v/>
      </c>
      <c r="AC119" s="187" t="str" cm="1">
        <f t="array" ref="AC119">Common_InputFunctions.Utility_DisplayArrayInTable(Fertiliser_SourceData.Fertiliser_Products_Data1(),FertiliserProducts[[#Headers],[Include or Exclude]], 0,4)</f>
        <v/>
      </c>
      <c r="AD119" s="187" t="str" cm="1">
        <f t="array" ref="AD119">Common_InputFunctions.Utility_DisplayArrayInTable(Fertiliser_SourceData.Fertiliser_Products_Data1(),FertiliserProducts[[#Headers],[Include or Exclude]], 0,4)</f>
        <v/>
      </c>
      <c r="AE119" s="187" t="str" cm="1">
        <f t="array" ref="AE119">Common_InputFunctions.Utility_DisplayArrayInTable(Fertiliser_SourceData.Fertiliser_Products_Data1(),FertiliserProducts[[#Headers],[Include or Exclude]], 0,4)</f>
        <v/>
      </c>
    </row>
    <row r="120" spans="4:31" ht="20.100000000000001" customHeight="1" x14ac:dyDescent="0.25">
      <c r="D120" s="187" t="str" cm="1">
        <f t="array" ref="D120">Common_InputFunctions.Utility_DisplayArrayInTable(Fertiliser_SourceData.Fertiliser_Products_Data1(),FertiliserProducts[[#Headers],[Include or Exclude]], -1)</f>
        <v/>
      </c>
      <c r="E120" s="187" t="str" cm="1">
        <f t="array" ref="E120">Common_InputFunctions.Utility_DisplayArrayInTable(Fertiliser_SourceData.Fertiliser_Products_Data1(),FertiliserProducts[[#Headers],[Include or Exclude]], 0)</f>
        <v/>
      </c>
      <c r="F120" s="187" t="str" cm="1">
        <f t="array" ref="F120">Common_InputFunctions.Utility_DisplayArrayInTable(Fertiliser_SourceData.Fertiliser_Products_Data1(),FertiliserProducts[[#Headers],[Include or Exclude]], 0)</f>
        <v/>
      </c>
      <c r="G120" s="187" t="str" cm="1">
        <f t="array" ref="G120">Common_InputFunctions.Utility_DisplayArrayInTable(Fertiliser_SourceData.Fertiliser_Products_Data1(),FertiliserProducts[[#Headers],[Include or Exclude]], 0)</f>
        <v/>
      </c>
      <c r="H120" s="187" t="str" cm="1">
        <f t="array" ref="H120">Common_InputFunctions.Utility_DisplayArrayInTable(Fertiliser_SourceData.Fertiliser_Products_Data1(),FertiliserProducts[[#Headers],[Include or Exclude]], 0,4)</f>
        <v/>
      </c>
      <c r="I120" s="187" t="str" cm="1">
        <f t="array" ref="I120">Common_InputFunctions.Utility_DisplayArrayInTable(Fertiliser_SourceData.Fertiliser_Products_Data1(),FertiliserProducts[[#Headers],[Include or Exclude]], 0,4)</f>
        <v/>
      </c>
      <c r="J120" s="187" t="str" cm="1">
        <f t="array" ref="J120">Common_InputFunctions.Utility_DisplayArrayInTable(Fertiliser_SourceData.Fertiliser_Products_Data1(),FertiliserProducts[[#Headers],[Include or Exclude]], 0,4)</f>
        <v/>
      </c>
      <c r="K120" s="187" t="str" cm="1">
        <f t="array" ref="K120">Common_InputFunctions.Utility_DisplayArrayInTable(Fertiliser_SourceData.Fertiliser_Products_Data1(),FertiliserProducts[[#Headers],[Include or Exclude]], 0,4)</f>
        <v/>
      </c>
      <c r="L120" s="187" t="str" cm="1">
        <f t="array" ref="L120">Common_InputFunctions.Utility_DisplayArrayInTable(Fertiliser_SourceData.Fertiliser_Products_Data1(),FertiliserProducts[[#Headers],[Include or Exclude]], 0,4)</f>
        <v/>
      </c>
      <c r="M120" s="187" t="str" cm="1">
        <f t="array" ref="M120">Common_InputFunctions.Utility_DisplayArrayInTable(Fertiliser_SourceData.Fertiliser_Products_Data1(),FertiliserProducts[[#Headers],[Include or Exclude]], 0,4)</f>
        <v/>
      </c>
      <c r="N120" s="187" t="str" cm="1">
        <f t="array" ref="N120">Common_InputFunctions.Utility_DisplayArrayInTable(Fertiliser_SourceData.Fertiliser_Products_Data1(),FertiliserProducts[[#Headers],[Include or Exclude]], 0,4)</f>
        <v/>
      </c>
      <c r="O120" s="187" t="str" cm="1">
        <f t="array" ref="O120">Common_InputFunctions.Utility_DisplayArrayInTable(Fertiliser_SourceData.Fertiliser_Products_Data1(),FertiliserProducts[[#Headers],[Include or Exclude]], 0,4)</f>
        <v/>
      </c>
      <c r="P120" s="187" t="str" cm="1">
        <f t="array" ref="P120">Common_InputFunctions.Utility_DisplayArrayInTable(Fertiliser_SourceData.Fertiliser_Products_Data1(),FertiliserProducts[[#Headers],[Include or Exclude]], 0,4)</f>
        <v/>
      </c>
      <c r="Q120" s="187" t="str" cm="1">
        <f t="array" ref="Q120">Common_InputFunctions.Utility_DisplayArrayInTable(Fertiliser_SourceData.Fertiliser_Products_Data1(),FertiliserProducts[[#Headers],[Include or Exclude]], 0,4)</f>
        <v/>
      </c>
      <c r="R120" s="187" t="str" cm="1">
        <f t="array" ref="R120">Common_InputFunctions.Utility_DisplayArrayInTable(Fertiliser_SourceData.Fertiliser_Products_Data1(),FertiliserProducts[[#Headers],[Include or Exclude]], 0,4)</f>
        <v/>
      </c>
      <c r="S120" s="187" t="str" cm="1">
        <f t="array" ref="S120">Common_InputFunctions.Utility_DisplayArrayInTable(Fertiliser_SourceData.Fertiliser_Products_Data1(),FertiliserProducts[[#Headers],[Include or Exclude]], 0,4)</f>
        <v/>
      </c>
      <c r="T120" s="187" t="str" cm="1">
        <f t="array" ref="T120">Common_InputFunctions.Utility_DisplayArrayInTable(Fertiliser_SourceData.Fertiliser_Products_Data1(),FertiliserProducts[[#Headers],[Include or Exclude]], 0,4)</f>
        <v/>
      </c>
      <c r="U120" s="187" t="str" cm="1">
        <f t="array" ref="U120">Common_InputFunctions.Utility_DisplayArrayInTable(Fertiliser_SourceData.Fertiliser_Products_Data1(),FertiliserProducts[[#Headers],[Include or Exclude]], 0,4)</f>
        <v/>
      </c>
      <c r="V120" s="187" t="str" cm="1">
        <f t="array" ref="V120">Common_InputFunctions.Utility_DisplayArrayInTable(Fertiliser_SourceData.Fertiliser_Products_Data1(),FertiliserProducts[[#Headers],[Include or Exclude]], 0,4)</f>
        <v/>
      </c>
      <c r="W120" s="187" t="str" cm="1">
        <f t="array" ref="W120">Common_InputFunctions.Utility_DisplayArrayInTable(Fertiliser_SourceData.Fertiliser_Products_Data1(),FertiliserProducts[[#Headers],[Include or Exclude]], 0,4)</f>
        <v/>
      </c>
      <c r="X120" s="187" t="str" cm="1">
        <f t="array" ref="X120">Common_InputFunctions.Utility_DisplayArrayInTable(Fertiliser_SourceData.Fertiliser_Products_Data1(),FertiliserProducts[[#Headers],[Include or Exclude]], 0,4)</f>
        <v/>
      </c>
      <c r="Y120" s="187" t="str" cm="1">
        <f t="array" ref="Y120">Common_InputFunctions.Utility_DisplayArrayInTable(Fertiliser_SourceData.Fertiliser_Products_Data1(),FertiliserProducts[[#Headers],[Include or Exclude]], 0,4)</f>
        <v/>
      </c>
      <c r="Z120" s="187" t="str" cm="1">
        <f t="array" ref="Z120">Common_InputFunctions.Utility_DisplayArrayInTable(Fertiliser_SourceData.Fertiliser_Products_Data1(),FertiliserProducts[[#Headers],[Include or Exclude]], 0,4)</f>
        <v/>
      </c>
      <c r="AA120" s="187" t="str" cm="1">
        <f t="array" ref="AA120">Common_InputFunctions.Utility_DisplayArrayInTable(Fertiliser_SourceData.Fertiliser_Products_Data1(),FertiliserProducts[[#Headers],[Include or Exclude]], 0,4)</f>
        <v/>
      </c>
      <c r="AB120" s="187" t="str" cm="1">
        <f t="array" ref="AB120">Common_InputFunctions.Utility_DisplayArrayInTable(Fertiliser_SourceData.Fertiliser_Products_Data1(),FertiliserProducts[[#Headers],[Include or Exclude]], 0,4)</f>
        <v/>
      </c>
      <c r="AC120" s="187" t="str" cm="1">
        <f t="array" ref="AC120">Common_InputFunctions.Utility_DisplayArrayInTable(Fertiliser_SourceData.Fertiliser_Products_Data1(),FertiliserProducts[[#Headers],[Include or Exclude]], 0,4)</f>
        <v/>
      </c>
      <c r="AD120" s="187" t="str" cm="1">
        <f t="array" ref="AD120">Common_InputFunctions.Utility_DisplayArrayInTable(Fertiliser_SourceData.Fertiliser_Products_Data1(),FertiliserProducts[[#Headers],[Include or Exclude]], 0,4)</f>
        <v/>
      </c>
      <c r="AE120" s="187" t="str" cm="1">
        <f t="array" ref="AE120">Common_InputFunctions.Utility_DisplayArrayInTable(Fertiliser_SourceData.Fertiliser_Products_Data1(),FertiliserProducts[[#Headers],[Include or Exclude]], 0,4)</f>
        <v/>
      </c>
    </row>
    <row r="121" spans="4:31" ht="20.100000000000001" customHeight="1" x14ac:dyDescent="0.25">
      <c r="D121" s="187" t="str" cm="1">
        <f t="array" ref="D121">Common_InputFunctions.Utility_DisplayArrayInTable(Fertiliser_SourceData.Fertiliser_Products_Data1(),FertiliserProducts[[#Headers],[Include or Exclude]], -1)</f>
        <v/>
      </c>
      <c r="E121" s="187" t="str" cm="1">
        <f t="array" ref="E121">Common_InputFunctions.Utility_DisplayArrayInTable(Fertiliser_SourceData.Fertiliser_Products_Data1(),FertiliserProducts[[#Headers],[Include or Exclude]], 0)</f>
        <v/>
      </c>
      <c r="F121" s="187" t="str" cm="1">
        <f t="array" ref="F121">Common_InputFunctions.Utility_DisplayArrayInTable(Fertiliser_SourceData.Fertiliser_Products_Data1(),FertiliserProducts[[#Headers],[Include or Exclude]], 0)</f>
        <v/>
      </c>
      <c r="G121" s="187" t="str" cm="1">
        <f t="array" ref="G121">Common_InputFunctions.Utility_DisplayArrayInTable(Fertiliser_SourceData.Fertiliser_Products_Data1(),FertiliserProducts[[#Headers],[Include or Exclude]], 0)</f>
        <v/>
      </c>
      <c r="H121" s="187" t="str" cm="1">
        <f t="array" ref="H121">Common_InputFunctions.Utility_DisplayArrayInTable(Fertiliser_SourceData.Fertiliser_Products_Data1(),FertiliserProducts[[#Headers],[Include or Exclude]], 0,4)</f>
        <v/>
      </c>
      <c r="I121" s="187" t="str" cm="1">
        <f t="array" ref="I121">Common_InputFunctions.Utility_DisplayArrayInTable(Fertiliser_SourceData.Fertiliser_Products_Data1(),FertiliserProducts[[#Headers],[Include or Exclude]], 0,4)</f>
        <v/>
      </c>
      <c r="J121" s="187" t="str" cm="1">
        <f t="array" ref="J121">Common_InputFunctions.Utility_DisplayArrayInTable(Fertiliser_SourceData.Fertiliser_Products_Data1(),FertiliserProducts[[#Headers],[Include or Exclude]], 0,4)</f>
        <v/>
      </c>
      <c r="K121" s="187" t="str" cm="1">
        <f t="array" ref="K121">Common_InputFunctions.Utility_DisplayArrayInTable(Fertiliser_SourceData.Fertiliser_Products_Data1(),FertiliserProducts[[#Headers],[Include or Exclude]], 0,4)</f>
        <v/>
      </c>
      <c r="L121" s="187" t="str" cm="1">
        <f t="array" ref="L121">Common_InputFunctions.Utility_DisplayArrayInTable(Fertiliser_SourceData.Fertiliser_Products_Data1(),FertiliserProducts[[#Headers],[Include or Exclude]], 0,4)</f>
        <v/>
      </c>
      <c r="M121" s="187" t="str" cm="1">
        <f t="array" ref="M121">Common_InputFunctions.Utility_DisplayArrayInTable(Fertiliser_SourceData.Fertiliser_Products_Data1(),FertiliserProducts[[#Headers],[Include or Exclude]], 0,4)</f>
        <v/>
      </c>
      <c r="N121" s="187" t="str" cm="1">
        <f t="array" ref="N121">Common_InputFunctions.Utility_DisplayArrayInTable(Fertiliser_SourceData.Fertiliser_Products_Data1(),FertiliserProducts[[#Headers],[Include or Exclude]], 0,4)</f>
        <v/>
      </c>
      <c r="O121" s="187" t="str" cm="1">
        <f t="array" ref="O121">Common_InputFunctions.Utility_DisplayArrayInTable(Fertiliser_SourceData.Fertiliser_Products_Data1(),FertiliserProducts[[#Headers],[Include or Exclude]], 0,4)</f>
        <v/>
      </c>
      <c r="P121" s="187" t="str" cm="1">
        <f t="array" ref="P121">Common_InputFunctions.Utility_DisplayArrayInTable(Fertiliser_SourceData.Fertiliser_Products_Data1(),FertiliserProducts[[#Headers],[Include or Exclude]], 0,4)</f>
        <v/>
      </c>
      <c r="Q121" s="187" t="str" cm="1">
        <f t="array" ref="Q121">Common_InputFunctions.Utility_DisplayArrayInTable(Fertiliser_SourceData.Fertiliser_Products_Data1(),FertiliserProducts[[#Headers],[Include or Exclude]], 0,4)</f>
        <v/>
      </c>
      <c r="R121" s="187" t="str" cm="1">
        <f t="array" ref="R121">Common_InputFunctions.Utility_DisplayArrayInTable(Fertiliser_SourceData.Fertiliser_Products_Data1(),FertiliserProducts[[#Headers],[Include or Exclude]], 0,4)</f>
        <v/>
      </c>
      <c r="S121" s="187" t="str" cm="1">
        <f t="array" ref="S121">Common_InputFunctions.Utility_DisplayArrayInTable(Fertiliser_SourceData.Fertiliser_Products_Data1(),FertiliserProducts[[#Headers],[Include or Exclude]], 0,4)</f>
        <v/>
      </c>
      <c r="T121" s="187" t="str" cm="1">
        <f t="array" ref="T121">Common_InputFunctions.Utility_DisplayArrayInTable(Fertiliser_SourceData.Fertiliser_Products_Data1(),FertiliserProducts[[#Headers],[Include or Exclude]], 0,4)</f>
        <v/>
      </c>
      <c r="U121" s="187" t="str" cm="1">
        <f t="array" ref="U121">Common_InputFunctions.Utility_DisplayArrayInTable(Fertiliser_SourceData.Fertiliser_Products_Data1(),FertiliserProducts[[#Headers],[Include or Exclude]], 0,4)</f>
        <v/>
      </c>
      <c r="V121" s="187" t="str" cm="1">
        <f t="array" ref="V121">Common_InputFunctions.Utility_DisplayArrayInTable(Fertiliser_SourceData.Fertiliser_Products_Data1(),FertiliserProducts[[#Headers],[Include or Exclude]], 0,4)</f>
        <v/>
      </c>
      <c r="W121" s="187" t="str" cm="1">
        <f t="array" ref="W121">Common_InputFunctions.Utility_DisplayArrayInTable(Fertiliser_SourceData.Fertiliser_Products_Data1(),FertiliserProducts[[#Headers],[Include or Exclude]], 0,4)</f>
        <v/>
      </c>
      <c r="X121" s="187" t="str" cm="1">
        <f t="array" ref="X121">Common_InputFunctions.Utility_DisplayArrayInTable(Fertiliser_SourceData.Fertiliser_Products_Data1(),FertiliserProducts[[#Headers],[Include or Exclude]], 0,4)</f>
        <v/>
      </c>
      <c r="Y121" s="187" t="str" cm="1">
        <f t="array" ref="Y121">Common_InputFunctions.Utility_DisplayArrayInTable(Fertiliser_SourceData.Fertiliser_Products_Data1(),FertiliserProducts[[#Headers],[Include or Exclude]], 0,4)</f>
        <v/>
      </c>
      <c r="Z121" s="187" t="str" cm="1">
        <f t="array" ref="Z121">Common_InputFunctions.Utility_DisplayArrayInTable(Fertiliser_SourceData.Fertiliser_Products_Data1(),FertiliserProducts[[#Headers],[Include or Exclude]], 0,4)</f>
        <v/>
      </c>
      <c r="AA121" s="187" t="str" cm="1">
        <f t="array" ref="AA121">Common_InputFunctions.Utility_DisplayArrayInTable(Fertiliser_SourceData.Fertiliser_Products_Data1(),FertiliserProducts[[#Headers],[Include or Exclude]], 0,4)</f>
        <v/>
      </c>
      <c r="AB121" s="187" t="str" cm="1">
        <f t="array" ref="AB121">Common_InputFunctions.Utility_DisplayArrayInTable(Fertiliser_SourceData.Fertiliser_Products_Data1(),FertiliserProducts[[#Headers],[Include or Exclude]], 0,4)</f>
        <v/>
      </c>
      <c r="AC121" s="187" t="str" cm="1">
        <f t="array" ref="AC121">Common_InputFunctions.Utility_DisplayArrayInTable(Fertiliser_SourceData.Fertiliser_Products_Data1(),FertiliserProducts[[#Headers],[Include or Exclude]], 0,4)</f>
        <v/>
      </c>
      <c r="AD121" s="187" t="str" cm="1">
        <f t="array" ref="AD121">Common_InputFunctions.Utility_DisplayArrayInTable(Fertiliser_SourceData.Fertiliser_Products_Data1(),FertiliserProducts[[#Headers],[Include or Exclude]], 0,4)</f>
        <v/>
      </c>
      <c r="AE121" s="187" t="str" cm="1">
        <f t="array" ref="AE121">Common_InputFunctions.Utility_DisplayArrayInTable(Fertiliser_SourceData.Fertiliser_Products_Data1(),FertiliserProducts[[#Headers],[Include or Exclude]], 0,4)</f>
        <v/>
      </c>
    </row>
    <row r="122" spans="4:31" ht="20.100000000000001" customHeight="1" x14ac:dyDescent="0.25">
      <c r="D122" s="187" t="str" cm="1">
        <f t="array" ref="D122">Common_InputFunctions.Utility_DisplayArrayInTable(Fertiliser_SourceData.Fertiliser_Products_Data1(),FertiliserProducts[[#Headers],[Include or Exclude]], -1)</f>
        <v/>
      </c>
      <c r="E122" s="187" t="str" cm="1">
        <f t="array" ref="E122">Common_InputFunctions.Utility_DisplayArrayInTable(Fertiliser_SourceData.Fertiliser_Products_Data1(),FertiliserProducts[[#Headers],[Include or Exclude]], 0)</f>
        <v/>
      </c>
      <c r="F122" s="187" t="str" cm="1">
        <f t="array" ref="F122">Common_InputFunctions.Utility_DisplayArrayInTable(Fertiliser_SourceData.Fertiliser_Products_Data1(),FertiliserProducts[[#Headers],[Include or Exclude]], 0)</f>
        <v/>
      </c>
      <c r="G122" s="187" t="str" cm="1">
        <f t="array" ref="G122">Common_InputFunctions.Utility_DisplayArrayInTable(Fertiliser_SourceData.Fertiliser_Products_Data1(),FertiliserProducts[[#Headers],[Include or Exclude]], 0)</f>
        <v/>
      </c>
      <c r="H122" s="187" t="str" cm="1">
        <f t="array" ref="H122">Common_InputFunctions.Utility_DisplayArrayInTable(Fertiliser_SourceData.Fertiliser_Products_Data1(),FertiliserProducts[[#Headers],[Include or Exclude]], 0,4)</f>
        <v/>
      </c>
      <c r="I122" s="187" t="str" cm="1">
        <f t="array" ref="I122">Common_InputFunctions.Utility_DisplayArrayInTable(Fertiliser_SourceData.Fertiliser_Products_Data1(),FertiliserProducts[[#Headers],[Include or Exclude]], 0,4)</f>
        <v/>
      </c>
      <c r="J122" s="187" t="str" cm="1">
        <f t="array" ref="J122">Common_InputFunctions.Utility_DisplayArrayInTable(Fertiliser_SourceData.Fertiliser_Products_Data1(),FertiliserProducts[[#Headers],[Include or Exclude]], 0,4)</f>
        <v/>
      </c>
      <c r="K122" s="187" t="str" cm="1">
        <f t="array" ref="K122">Common_InputFunctions.Utility_DisplayArrayInTable(Fertiliser_SourceData.Fertiliser_Products_Data1(),FertiliserProducts[[#Headers],[Include or Exclude]], 0,4)</f>
        <v/>
      </c>
      <c r="L122" s="187" t="str" cm="1">
        <f t="array" ref="L122">Common_InputFunctions.Utility_DisplayArrayInTable(Fertiliser_SourceData.Fertiliser_Products_Data1(),FertiliserProducts[[#Headers],[Include or Exclude]], 0,4)</f>
        <v/>
      </c>
      <c r="M122" s="187" t="str" cm="1">
        <f t="array" ref="M122">Common_InputFunctions.Utility_DisplayArrayInTable(Fertiliser_SourceData.Fertiliser_Products_Data1(),FertiliserProducts[[#Headers],[Include or Exclude]], 0,4)</f>
        <v/>
      </c>
      <c r="N122" s="187" t="str" cm="1">
        <f t="array" ref="N122">Common_InputFunctions.Utility_DisplayArrayInTable(Fertiliser_SourceData.Fertiliser_Products_Data1(),FertiliserProducts[[#Headers],[Include or Exclude]], 0,4)</f>
        <v/>
      </c>
      <c r="O122" s="187" t="str" cm="1">
        <f t="array" ref="O122">Common_InputFunctions.Utility_DisplayArrayInTable(Fertiliser_SourceData.Fertiliser_Products_Data1(),FertiliserProducts[[#Headers],[Include or Exclude]], 0,4)</f>
        <v/>
      </c>
      <c r="P122" s="187" t="str" cm="1">
        <f t="array" ref="P122">Common_InputFunctions.Utility_DisplayArrayInTable(Fertiliser_SourceData.Fertiliser_Products_Data1(),FertiliserProducts[[#Headers],[Include or Exclude]], 0,4)</f>
        <v/>
      </c>
      <c r="Q122" s="187" t="str" cm="1">
        <f t="array" ref="Q122">Common_InputFunctions.Utility_DisplayArrayInTable(Fertiliser_SourceData.Fertiliser_Products_Data1(),FertiliserProducts[[#Headers],[Include or Exclude]], 0,4)</f>
        <v/>
      </c>
      <c r="R122" s="187" t="str" cm="1">
        <f t="array" ref="R122">Common_InputFunctions.Utility_DisplayArrayInTable(Fertiliser_SourceData.Fertiliser_Products_Data1(),FertiliserProducts[[#Headers],[Include or Exclude]], 0,4)</f>
        <v/>
      </c>
      <c r="S122" s="187" t="str" cm="1">
        <f t="array" ref="S122">Common_InputFunctions.Utility_DisplayArrayInTable(Fertiliser_SourceData.Fertiliser_Products_Data1(),FertiliserProducts[[#Headers],[Include or Exclude]], 0,4)</f>
        <v/>
      </c>
      <c r="T122" s="187" t="str" cm="1">
        <f t="array" ref="T122">Common_InputFunctions.Utility_DisplayArrayInTable(Fertiliser_SourceData.Fertiliser_Products_Data1(),FertiliserProducts[[#Headers],[Include or Exclude]], 0,4)</f>
        <v/>
      </c>
      <c r="U122" s="187" t="str" cm="1">
        <f t="array" ref="U122">Common_InputFunctions.Utility_DisplayArrayInTable(Fertiliser_SourceData.Fertiliser_Products_Data1(),FertiliserProducts[[#Headers],[Include or Exclude]], 0,4)</f>
        <v/>
      </c>
      <c r="V122" s="187" t="str" cm="1">
        <f t="array" ref="V122">Common_InputFunctions.Utility_DisplayArrayInTable(Fertiliser_SourceData.Fertiliser_Products_Data1(),FertiliserProducts[[#Headers],[Include or Exclude]], 0,4)</f>
        <v/>
      </c>
      <c r="W122" s="187" t="str" cm="1">
        <f t="array" ref="W122">Common_InputFunctions.Utility_DisplayArrayInTable(Fertiliser_SourceData.Fertiliser_Products_Data1(),FertiliserProducts[[#Headers],[Include or Exclude]], 0,4)</f>
        <v/>
      </c>
      <c r="X122" s="187" t="str" cm="1">
        <f t="array" ref="X122">Common_InputFunctions.Utility_DisplayArrayInTable(Fertiliser_SourceData.Fertiliser_Products_Data1(),FertiliserProducts[[#Headers],[Include or Exclude]], 0,4)</f>
        <v/>
      </c>
      <c r="Y122" s="187" t="str" cm="1">
        <f t="array" ref="Y122">Common_InputFunctions.Utility_DisplayArrayInTable(Fertiliser_SourceData.Fertiliser_Products_Data1(),FertiliserProducts[[#Headers],[Include or Exclude]], 0,4)</f>
        <v/>
      </c>
      <c r="Z122" s="187" t="str" cm="1">
        <f t="array" ref="Z122">Common_InputFunctions.Utility_DisplayArrayInTable(Fertiliser_SourceData.Fertiliser_Products_Data1(),FertiliserProducts[[#Headers],[Include or Exclude]], 0,4)</f>
        <v/>
      </c>
      <c r="AA122" s="187" t="str" cm="1">
        <f t="array" ref="AA122">Common_InputFunctions.Utility_DisplayArrayInTable(Fertiliser_SourceData.Fertiliser_Products_Data1(),FertiliserProducts[[#Headers],[Include or Exclude]], 0,4)</f>
        <v/>
      </c>
      <c r="AB122" s="187" t="str" cm="1">
        <f t="array" ref="AB122">Common_InputFunctions.Utility_DisplayArrayInTable(Fertiliser_SourceData.Fertiliser_Products_Data1(),FertiliserProducts[[#Headers],[Include or Exclude]], 0,4)</f>
        <v/>
      </c>
      <c r="AC122" s="187" t="str" cm="1">
        <f t="array" ref="AC122">Common_InputFunctions.Utility_DisplayArrayInTable(Fertiliser_SourceData.Fertiliser_Products_Data1(),FertiliserProducts[[#Headers],[Include or Exclude]], 0,4)</f>
        <v/>
      </c>
      <c r="AD122" s="187" t="str" cm="1">
        <f t="array" ref="AD122">Common_InputFunctions.Utility_DisplayArrayInTable(Fertiliser_SourceData.Fertiliser_Products_Data1(),FertiliserProducts[[#Headers],[Include or Exclude]], 0,4)</f>
        <v/>
      </c>
      <c r="AE122" s="187" t="str" cm="1">
        <f t="array" ref="AE122">Common_InputFunctions.Utility_DisplayArrayInTable(Fertiliser_SourceData.Fertiliser_Products_Data1(),FertiliserProducts[[#Headers],[Include or Exclude]], 0,4)</f>
        <v/>
      </c>
    </row>
    <row r="123" spans="4:31" ht="20.100000000000001" customHeight="1" x14ac:dyDescent="0.25">
      <c r="D123" s="187" t="str" cm="1">
        <f t="array" ref="D123">Common_InputFunctions.Utility_DisplayArrayInTable(Fertiliser_SourceData.Fertiliser_Products_Data1(),FertiliserProducts[[#Headers],[Include or Exclude]], -1)</f>
        <v/>
      </c>
      <c r="E123" s="187" t="str" cm="1">
        <f t="array" ref="E123">Common_InputFunctions.Utility_DisplayArrayInTable(Fertiliser_SourceData.Fertiliser_Products_Data1(),FertiliserProducts[[#Headers],[Include or Exclude]], 0)</f>
        <v/>
      </c>
      <c r="F123" s="187" t="str" cm="1">
        <f t="array" ref="F123">Common_InputFunctions.Utility_DisplayArrayInTable(Fertiliser_SourceData.Fertiliser_Products_Data1(),FertiliserProducts[[#Headers],[Include or Exclude]], 0)</f>
        <v/>
      </c>
      <c r="G123" s="187" t="str" cm="1">
        <f t="array" ref="G123">Common_InputFunctions.Utility_DisplayArrayInTable(Fertiliser_SourceData.Fertiliser_Products_Data1(),FertiliserProducts[[#Headers],[Include or Exclude]], 0)</f>
        <v/>
      </c>
      <c r="H123" s="187" t="str" cm="1">
        <f t="array" ref="H123">Common_InputFunctions.Utility_DisplayArrayInTable(Fertiliser_SourceData.Fertiliser_Products_Data1(),FertiliserProducts[[#Headers],[Include or Exclude]], 0,4)</f>
        <v/>
      </c>
      <c r="I123" s="187" t="str" cm="1">
        <f t="array" ref="I123">Common_InputFunctions.Utility_DisplayArrayInTable(Fertiliser_SourceData.Fertiliser_Products_Data1(),FertiliserProducts[[#Headers],[Include or Exclude]], 0,4)</f>
        <v/>
      </c>
      <c r="J123" s="187" t="str" cm="1">
        <f t="array" ref="J123">Common_InputFunctions.Utility_DisplayArrayInTable(Fertiliser_SourceData.Fertiliser_Products_Data1(),FertiliserProducts[[#Headers],[Include or Exclude]], 0,4)</f>
        <v/>
      </c>
      <c r="K123" s="187" t="str" cm="1">
        <f t="array" ref="K123">Common_InputFunctions.Utility_DisplayArrayInTable(Fertiliser_SourceData.Fertiliser_Products_Data1(),FertiliserProducts[[#Headers],[Include or Exclude]], 0,4)</f>
        <v/>
      </c>
      <c r="L123" s="187" t="str" cm="1">
        <f t="array" ref="L123">Common_InputFunctions.Utility_DisplayArrayInTable(Fertiliser_SourceData.Fertiliser_Products_Data1(),FertiliserProducts[[#Headers],[Include or Exclude]], 0,4)</f>
        <v/>
      </c>
      <c r="M123" s="187" t="str" cm="1">
        <f t="array" ref="M123">Common_InputFunctions.Utility_DisplayArrayInTable(Fertiliser_SourceData.Fertiliser_Products_Data1(),FertiliserProducts[[#Headers],[Include or Exclude]], 0,4)</f>
        <v/>
      </c>
      <c r="N123" s="187" t="str" cm="1">
        <f t="array" ref="N123">Common_InputFunctions.Utility_DisplayArrayInTable(Fertiliser_SourceData.Fertiliser_Products_Data1(),FertiliserProducts[[#Headers],[Include or Exclude]], 0,4)</f>
        <v/>
      </c>
      <c r="O123" s="187" t="str" cm="1">
        <f t="array" ref="O123">Common_InputFunctions.Utility_DisplayArrayInTable(Fertiliser_SourceData.Fertiliser_Products_Data1(),FertiliserProducts[[#Headers],[Include or Exclude]], 0,4)</f>
        <v/>
      </c>
      <c r="P123" s="187" t="str" cm="1">
        <f t="array" ref="P123">Common_InputFunctions.Utility_DisplayArrayInTable(Fertiliser_SourceData.Fertiliser_Products_Data1(),FertiliserProducts[[#Headers],[Include or Exclude]], 0,4)</f>
        <v/>
      </c>
      <c r="Q123" s="187" t="str" cm="1">
        <f t="array" ref="Q123">Common_InputFunctions.Utility_DisplayArrayInTable(Fertiliser_SourceData.Fertiliser_Products_Data1(),FertiliserProducts[[#Headers],[Include or Exclude]], 0,4)</f>
        <v/>
      </c>
      <c r="R123" s="187" t="str" cm="1">
        <f t="array" ref="R123">Common_InputFunctions.Utility_DisplayArrayInTable(Fertiliser_SourceData.Fertiliser_Products_Data1(),FertiliserProducts[[#Headers],[Include or Exclude]], 0,4)</f>
        <v/>
      </c>
      <c r="S123" s="187" t="str" cm="1">
        <f t="array" ref="S123">Common_InputFunctions.Utility_DisplayArrayInTable(Fertiliser_SourceData.Fertiliser_Products_Data1(),FertiliserProducts[[#Headers],[Include or Exclude]], 0,4)</f>
        <v/>
      </c>
      <c r="T123" s="187" t="str" cm="1">
        <f t="array" ref="T123">Common_InputFunctions.Utility_DisplayArrayInTable(Fertiliser_SourceData.Fertiliser_Products_Data1(),FertiliserProducts[[#Headers],[Include or Exclude]], 0,4)</f>
        <v/>
      </c>
      <c r="U123" s="187" t="str" cm="1">
        <f t="array" ref="U123">Common_InputFunctions.Utility_DisplayArrayInTable(Fertiliser_SourceData.Fertiliser_Products_Data1(),FertiliserProducts[[#Headers],[Include or Exclude]], 0,4)</f>
        <v/>
      </c>
      <c r="V123" s="187" t="str" cm="1">
        <f t="array" ref="V123">Common_InputFunctions.Utility_DisplayArrayInTable(Fertiliser_SourceData.Fertiliser_Products_Data1(),FertiliserProducts[[#Headers],[Include or Exclude]], 0,4)</f>
        <v/>
      </c>
      <c r="W123" s="187" t="str" cm="1">
        <f t="array" ref="W123">Common_InputFunctions.Utility_DisplayArrayInTable(Fertiliser_SourceData.Fertiliser_Products_Data1(),FertiliserProducts[[#Headers],[Include or Exclude]], 0,4)</f>
        <v/>
      </c>
      <c r="X123" s="187" t="str" cm="1">
        <f t="array" ref="X123">Common_InputFunctions.Utility_DisplayArrayInTable(Fertiliser_SourceData.Fertiliser_Products_Data1(),FertiliserProducts[[#Headers],[Include or Exclude]], 0,4)</f>
        <v/>
      </c>
      <c r="Y123" s="187" t="str" cm="1">
        <f t="array" ref="Y123">Common_InputFunctions.Utility_DisplayArrayInTable(Fertiliser_SourceData.Fertiliser_Products_Data1(),FertiliserProducts[[#Headers],[Include or Exclude]], 0,4)</f>
        <v/>
      </c>
      <c r="Z123" s="187" t="str" cm="1">
        <f t="array" ref="Z123">Common_InputFunctions.Utility_DisplayArrayInTable(Fertiliser_SourceData.Fertiliser_Products_Data1(),FertiliserProducts[[#Headers],[Include or Exclude]], 0,4)</f>
        <v/>
      </c>
      <c r="AA123" s="187" t="str" cm="1">
        <f t="array" ref="AA123">Common_InputFunctions.Utility_DisplayArrayInTable(Fertiliser_SourceData.Fertiliser_Products_Data1(),FertiliserProducts[[#Headers],[Include or Exclude]], 0,4)</f>
        <v/>
      </c>
      <c r="AB123" s="187" t="str" cm="1">
        <f t="array" ref="AB123">Common_InputFunctions.Utility_DisplayArrayInTable(Fertiliser_SourceData.Fertiliser_Products_Data1(),FertiliserProducts[[#Headers],[Include or Exclude]], 0,4)</f>
        <v/>
      </c>
      <c r="AC123" s="187" t="str" cm="1">
        <f t="array" ref="AC123">Common_InputFunctions.Utility_DisplayArrayInTable(Fertiliser_SourceData.Fertiliser_Products_Data1(),FertiliserProducts[[#Headers],[Include or Exclude]], 0,4)</f>
        <v/>
      </c>
      <c r="AD123" s="187" t="str" cm="1">
        <f t="array" ref="AD123">Common_InputFunctions.Utility_DisplayArrayInTable(Fertiliser_SourceData.Fertiliser_Products_Data1(),FertiliserProducts[[#Headers],[Include or Exclude]], 0,4)</f>
        <v/>
      </c>
      <c r="AE123" s="187" t="str" cm="1">
        <f t="array" ref="AE123">Common_InputFunctions.Utility_DisplayArrayInTable(Fertiliser_SourceData.Fertiliser_Products_Data1(),FertiliserProducts[[#Headers],[Include or Exclude]], 0,4)</f>
        <v/>
      </c>
    </row>
    <row r="124" spans="4:31" ht="20.100000000000001" customHeight="1" x14ac:dyDescent="0.25">
      <c r="D124" s="187" t="str" cm="1">
        <f t="array" ref="D124">Common_InputFunctions.Utility_DisplayArrayInTable(Fertiliser_SourceData.Fertiliser_Products_Data1(),FertiliserProducts[[#Headers],[Include or Exclude]], -1)</f>
        <v/>
      </c>
      <c r="E124" s="187" t="str" cm="1">
        <f t="array" ref="E124">Common_InputFunctions.Utility_DisplayArrayInTable(Fertiliser_SourceData.Fertiliser_Products_Data1(),FertiliserProducts[[#Headers],[Include or Exclude]], 0)</f>
        <v/>
      </c>
      <c r="F124" s="187" t="str" cm="1">
        <f t="array" ref="F124">Common_InputFunctions.Utility_DisplayArrayInTable(Fertiliser_SourceData.Fertiliser_Products_Data1(),FertiliserProducts[[#Headers],[Include or Exclude]], 0)</f>
        <v/>
      </c>
      <c r="G124" s="187" t="str" cm="1">
        <f t="array" ref="G124">Common_InputFunctions.Utility_DisplayArrayInTable(Fertiliser_SourceData.Fertiliser_Products_Data1(),FertiliserProducts[[#Headers],[Include or Exclude]], 0)</f>
        <v/>
      </c>
      <c r="H124" s="187" t="str" cm="1">
        <f t="array" ref="H124">Common_InputFunctions.Utility_DisplayArrayInTable(Fertiliser_SourceData.Fertiliser_Products_Data1(),FertiliserProducts[[#Headers],[Include or Exclude]], 0,4)</f>
        <v/>
      </c>
      <c r="I124" s="187" t="str" cm="1">
        <f t="array" ref="I124">Common_InputFunctions.Utility_DisplayArrayInTable(Fertiliser_SourceData.Fertiliser_Products_Data1(),FertiliserProducts[[#Headers],[Include or Exclude]], 0,4)</f>
        <v/>
      </c>
      <c r="J124" s="187" t="str" cm="1">
        <f t="array" ref="J124">Common_InputFunctions.Utility_DisplayArrayInTable(Fertiliser_SourceData.Fertiliser_Products_Data1(),FertiliserProducts[[#Headers],[Include or Exclude]], 0,4)</f>
        <v/>
      </c>
      <c r="K124" s="187" t="str" cm="1">
        <f t="array" ref="K124">Common_InputFunctions.Utility_DisplayArrayInTable(Fertiliser_SourceData.Fertiliser_Products_Data1(),FertiliserProducts[[#Headers],[Include or Exclude]], 0,4)</f>
        <v/>
      </c>
      <c r="L124" s="187" t="str" cm="1">
        <f t="array" ref="L124">Common_InputFunctions.Utility_DisplayArrayInTable(Fertiliser_SourceData.Fertiliser_Products_Data1(),FertiliserProducts[[#Headers],[Include or Exclude]], 0,4)</f>
        <v/>
      </c>
      <c r="M124" s="187" t="str" cm="1">
        <f t="array" ref="M124">Common_InputFunctions.Utility_DisplayArrayInTable(Fertiliser_SourceData.Fertiliser_Products_Data1(),FertiliserProducts[[#Headers],[Include or Exclude]], 0,4)</f>
        <v/>
      </c>
      <c r="N124" s="187" t="str" cm="1">
        <f t="array" ref="N124">Common_InputFunctions.Utility_DisplayArrayInTable(Fertiliser_SourceData.Fertiliser_Products_Data1(),FertiliserProducts[[#Headers],[Include or Exclude]], 0,4)</f>
        <v/>
      </c>
      <c r="O124" s="187" t="str" cm="1">
        <f t="array" ref="O124">Common_InputFunctions.Utility_DisplayArrayInTable(Fertiliser_SourceData.Fertiliser_Products_Data1(),FertiliserProducts[[#Headers],[Include or Exclude]], 0,4)</f>
        <v/>
      </c>
      <c r="P124" s="187" t="str" cm="1">
        <f t="array" ref="P124">Common_InputFunctions.Utility_DisplayArrayInTable(Fertiliser_SourceData.Fertiliser_Products_Data1(),FertiliserProducts[[#Headers],[Include or Exclude]], 0,4)</f>
        <v/>
      </c>
      <c r="Q124" s="187" t="str" cm="1">
        <f t="array" ref="Q124">Common_InputFunctions.Utility_DisplayArrayInTable(Fertiliser_SourceData.Fertiliser_Products_Data1(),FertiliserProducts[[#Headers],[Include or Exclude]], 0,4)</f>
        <v/>
      </c>
      <c r="R124" s="187" t="str" cm="1">
        <f t="array" ref="R124">Common_InputFunctions.Utility_DisplayArrayInTable(Fertiliser_SourceData.Fertiliser_Products_Data1(),FertiliserProducts[[#Headers],[Include or Exclude]], 0,4)</f>
        <v/>
      </c>
      <c r="S124" s="187" t="str" cm="1">
        <f t="array" ref="S124">Common_InputFunctions.Utility_DisplayArrayInTable(Fertiliser_SourceData.Fertiliser_Products_Data1(),FertiliserProducts[[#Headers],[Include or Exclude]], 0,4)</f>
        <v/>
      </c>
      <c r="T124" s="187" t="str" cm="1">
        <f t="array" ref="T124">Common_InputFunctions.Utility_DisplayArrayInTable(Fertiliser_SourceData.Fertiliser_Products_Data1(),FertiliserProducts[[#Headers],[Include or Exclude]], 0,4)</f>
        <v/>
      </c>
      <c r="U124" s="187" t="str" cm="1">
        <f t="array" ref="U124">Common_InputFunctions.Utility_DisplayArrayInTable(Fertiliser_SourceData.Fertiliser_Products_Data1(),FertiliserProducts[[#Headers],[Include or Exclude]], 0,4)</f>
        <v/>
      </c>
      <c r="V124" s="187" t="str" cm="1">
        <f t="array" ref="V124">Common_InputFunctions.Utility_DisplayArrayInTable(Fertiliser_SourceData.Fertiliser_Products_Data1(),FertiliserProducts[[#Headers],[Include or Exclude]], 0,4)</f>
        <v/>
      </c>
      <c r="W124" s="187" t="str" cm="1">
        <f t="array" ref="W124">Common_InputFunctions.Utility_DisplayArrayInTable(Fertiliser_SourceData.Fertiliser_Products_Data1(),FertiliserProducts[[#Headers],[Include or Exclude]], 0,4)</f>
        <v/>
      </c>
      <c r="X124" s="187" t="str" cm="1">
        <f t="array" ref="X124">Common_InputFunctions.Utility_DisplayArrayInTable(Fertiliser_SourceData.Fertiliser_Products_Data1(),FertiliserProducts[[#Headers],[Include or Exclude]], 0,4)</f>
        <v/>
      </c>
      <c r="Y124" s="187" t="str" cm="1">
        <f t="array" ref="Y124">Common_InputFunctions.Utility_DisplayArrayInTable(Fertiliser_SourceData.Fertiliser_Products_Data1(),FertiliserProducts[[#Headers],[Include or Exclude]], 0,4)</f>
        <v/>
      </c>
      <c r="Z124" s="187" t="str" cm="1">
        <f t="array" ref="Z124">Common_InputFunctions.Utility_DisplayArrayInTable(Fertiliser_SourceData.Fertiliser_Products_Data1(),FertiliserProducts[[#Headers],[Include or Exclude]], 0,4)</f>
        <v/>
      </c>
      <c r="AA124" s="187" t="str" cm="1">
        <f t="array" ref="AA124">Common_InputFunctions.Utility_DisplayArrayInTable(Fertiliser_SourceData.Fertiliser_Products_Data1(),FertiliserProducts[[#Headers],[Include or Exclude]], 0,4)</f>
        <v/>
      </c>
      <c r="AB124" s="187" t="str" cm="1">
        <f t="array" ref="AB124">Common_InputFunctions.Utility_DisplayArrayInTable(Fertiliser_SourceData.Fertiliser_Products_Data1(),FertiliserProducts[[#Headers],[Include or Exclude]], 0,4)</f>
        <v/>
      </c>
      <c r="AC124" s="187" t="str" cm="1">
        <f t="array" ref="AC124">Common_InputFunctions.Utility_DisplayArrayInTable(Fertiliser_SourceData.Fertiliser_Products_Data1(),FertiliserProducts[[#Headers],[Include or Exclude]], 0,4)</f>
        <v/>
      </c>
      <c r="AD124" s="187" t="str" cm="1">
        <f t="array" ref="AD124">Common_InputFunctions.Utility_DisplayArrayInTable(Fertiliser_SourceData.Fertiliser_Products_Data1(),FertiliserProducts[[#Headers],[Include or Exclude]], 0,4)</f>
        <v/>
      </c>
      <c r="AE124" s="187" t="str" cm="1">
        <f t="array" ref="AE124">Common_InputFunctions.Utility_DisplayArrayInTable(Fertiliser_SourceData.Fertiliser_Products_Data1(),FertiliserProducts[[#Headers],[Include or Exclude]], 0,4)</f>
        <v/>
      </c>
    </row>
    <row r="125" spans="4:31" ht="20.100000000000001" customHeight="1" x14ac:dyDescent="0.25">
      <c r="D125" s="187" t="str" cm="1">
        <f t="array" ref="D125">Common_InputFunctions.Utility_DisplayArrayInTable(Fertiliser_SourceData.Fertiliser_Products_Data1(),FertiliserProducts[[#Headers],[Include or Exclude]], -1)</f>
        <v/>
      </c>
      <c r="E125" s="187" t="str" cm="1">
        <f t="array" ref="E125">Common_InputFunctions.Utility_DisplayArrayInTable(Fertiliser_SourceData.Fertiliser_Products_Data1(),FertiliserProducts[[#Headers],[Include or Exclude]], 0)</f>
        <v/>
      </c>
      <c r="F125" s="187" t="str" cm="1">
        <f t="array" ref="F125">Common_InputFunctions.Utility_DisplayArrayInTable(Fertiliser_SourceData.Fertiliser_Products_Data1(),FertiliserProducts[[#Headers],[Include or Exclude]], 0)</f>
        <v/>
      </c>
      <c r="G125" s="187" t="str" cm="1">
        <f t="array" ref="G125">Common_InputFunctions.Utility_DisplayArrayInTable(Fertiliser_SourceData.Fertiliser_Products_Data1(),FertiliserProducts[[#Headers],[Include or Exclude]], 0)</f>
        <v/>
      </c>
      <c r="H125" s="187" t="str" cm="1">
        <f t="array" ref="H125">Common_InputFunctions.Utility_DisplayArrayInTable(Fertiliser_SourceData.Fertiliser_Products_Data1(),FertiliserProducts[[#Headers],[Include or Exclude]], 0,4)</f>
        <v/>
      </c>
      <c r="I125" s="187" t="str" cm="1">
        <f t="array" ref="I125">Common_InputFunctions.Utility_DisplayArrayInTable(Fertiliser_SourceData.Fertiliser_Products_Data1(),FertiliserProducts[[#Headers],[Include or Exclude]], 0,4)</f>
        <v/>
      </c>
      <c r="J125" s="187" t="str" cm="1">
        <f t="array" ref="J125">Common_InputFunctions.Utility_DisplayArrayInTable(Fertiliser_SourceData.Fertiliser_Products_Data1(),FertiliserProducts[[#Headers],[Include or Exclude]], 0,4)</f>
        <v/>
      </c>
      <c r="K125" s="187" t="str" cm="1">
        <f t="array" ref="K125">Common_InputFunctions.Utility_DisplayArrayInTable(Fertiliser_SourceData.Fertiliser_Products_Data1(),FertiliserProducts[[#Headers],[Include or Exclude]], 0,4)</f>
        <v/>
      </c>
      <c r="L125" s="187" t="str" cm="1">
        <f t="array" ref="L125">Common_InputFunctions.Utility_DisplayArrayInTable(Fertiliser_SourceData.Fertiliser_Products_Data1(),FertiliserProducts[[#Headers],[Include or Exclude]], 0,4)</f>
        <v/>
      </c>
      <c r="M125" s="187" t="str" cm="1">
        <f t="array" ref="M125">Common_InputFunctions.Utility_DisplayArrayInTable(Fertiliser_SourceData.Fertiliser_Products_Data1(),FertiliserProducts[[#Headers],[Include or Exclude]], 0,4)</f>
        <v/>
      </c>
      <c r="N125" s="187" t="str" cm="1">
        <f t="array" ref="N125">Common_InputFunctions.Utility_DisplayArrayInTable(Fertiliser_SourceData.Fertiliser_Products_Data1(),FertiliserProducts[[#Headers],[Include or Exclude]], 0,4)</f>
        <v/>
      </c>
      <c r="O125" s="187" t="str" cm="1">
        <f t="array" ref="O125">Common_InputFunctions.Utility_DisplayArrayInTable(Fertiliser_SourceData.Fertiliser_Products_Data1(),FertiliserProducts[[#Headers],[Include or Exclude]], 0,4)</f>
        <v/>
      </c>
      <c r="P125" s="187" t="str" cm="1">
        <f t="array" ref="P125">Common_InputFunctions.Utility_DisplayArrayInTable(Fertiliser_SourceData.Fertiliser_Products_Data1(),FertiliserProducts[[#Headers],[Include or Exclude]], 0,4)</f>
        <v/>
      </c>
      <c r="Q125" s="187" t="str" cm="1">
        <f t="array" ref="Q125">Common_InputFunctions.Utility_DisplayArrayInTable(Fertiliser_SourceData.Fertiliser_Products_Data1(),FertiliserProducts[[#Headers],[Include or Exclude]], 0,4)</f>
        <v/>
      </c>
      <c r="R125" s="187" t="str" cm="1">
        <f t="array" ref="R125">Common_InputFunctions.Utility_DisplayArrayInTable(Fertiliser_SourceData.Fertiliser_Products_Data1(),FertiliserProducts[[#Headers],[Include or Exclude]], 0,4)</f>
        <v/>
      </c>
      <c r="S125" s="187" t="str" cm="1">
        <f t="array" ref="S125">Common_InputFunctions.Utility_DisplayArrayInTable(Fertiliser_SourceData.Fertiliser_Products_Data1(),FertiliserProducts[[#Headers],[Include or Exclude]], 0,4)</f>
        <v/>
      </c>
      <c r="T125" s="187" t="str" cm="1">
        <f t="array" ref="T125">Common_InputFunctions.Utility_DisplayArrayInTable(Fertiliser_SourceData.Fertiliser_Products_Data1(),FertiliserProducts[[#Headers],[Include or Exclude]], 0,4)</f>
        <v/>
      </c>
      <c r="U125" s="187" t="str" cm="1">
        <f t="array" ref="U125">Common_InputFunctions.Utility_DisplayArrayInTable(Fertiliser_SourceData.Fertiliser_Products_Data1(),FertiliserProducts[[#Headers],[Include or Exclude]], 0,4)</f>
        <v/>
      </c>
      <c r="V125" s="187" t="str" cm="1">
        <f t="array" ref="V125">Common_InputFunctions.Utility_DisplayArrayInTable(Fertiliser_SourceData.Fertiliser_Products_Data1(),FertiliserProducts[[#Headers],[Include or Exclude]], 0,4)</f>
        <v/>
      </c>
      <c r="W125" s="187" t="str" cm="1">
        <f t="array" ref="W125">Common_InputFunctions.Utility_DisplayArrayInTable(Fertiliser_SourceData.Fertiliser_Products_Data1(),FertiliserProducts[[#Headers],[Include or Exclude]], 0,4)</f>
        <v/>
      </c>
      <c r="X125" s="187" t="str" cm="1">
        <f t="array" ref="X125">Common_InputFunctions.Utility_DisplayArrayInTable(Fertiliser_SourceData.Fertiliser_Products_Data1(),FertiliserProducts[[#Headers],[Include or Exclude]], 0,4)</f>
        <v/>
      </c>
      <c r="Y125" s="187" t="str" cm="1">
        <f t="array" ref="Y125">Common_InputFunctions.Utility_DisplayArrayInTable(Fertiliser_SourceData.Fertiliser_Products_Data1(),FertiliserProducts[[#Headers],[Include or Exclude]], 0,4)</f>
        <v/>
      </c>
      <c r="Z125" s="187" t="str" cm="1">
        <f t="array" ref="Z125">Common_InputFunctions.Utility_DisplayArrayInTable(Fertiliser_SourceData.Fertiliser_Products_Data1(),FertiliserProducts[[#Headers],[Include or Exclude]], 0,4)</f>
        <v/>
      </c>
      <c r="AA125" s="187" t="str" cm="1">
        <f t="array" ref="AA125">Common_InputFunctions.Utility_DisplayArrayInTable(Fertiliser_SourceData.Fertiliser_Products_Data1(),FertiliserProducts[[#Headers],[Include or Exclude]], 0,4)</f>
        <v/>
      </c>
      <c r="AB125" s="187" t="str" cm="1">
        <f t="array" ref="AB125">Common_InputFunctions.Utility_DisplayArrayInTable(Fertiliser_SourceData.Fertiliser_Products_Data1(),FertiliserProducts[[#Headers],[Include or Exclude]], 0,4)</f>
        <v/>
      </c>
      <c r="AC125" s="187" t="str" cm="1">
        <f t="array" ref="AC125">Common_InputFunctions.Utility_DisplayArrayInTable(Fertiliser_SourceData.Fertiliser_Products_Data1(),FertiliserProducts[[#Headers],[Include or Exclude]], 0,4)</f>
        <v/>
      </c>
      <c r="AD125" s="187" t="str" cm="1">
        <f t="array" ref="AD125">Common_InputFunctions.Utility_DisplayArrayInTable(Fertiliser_SourceData.Fertiliser_Products_Data1(),FertiliserProducts[[#Headers],[Include or Exclude]], 0,4)</f>
        <v/>
      </c>
      <c r="AE125" s="187" t="str" cm="1">
        <f t="array" ref="AE125">Common_InputFunctions.Utility_DisplayArrayInTable(Fertiliser_SourceData.Fertiliser_Products_Data1(),FertiliserProducts[[#Headers],[Include or Exclude]], 0,4)</f>
        <v/>
      </c>
    </row>
    <row r="126" spans="4:31" ht="20.100000000000001" customHeight="1" x14ac:dyDescent="0.25">
      <c r="D126" s="187" t="str" cm="1">
        <f t="array" ref="D126">Common_InputFunctions.Utility_DisplayArrayInTable(Fertiliser_SourceData.Fertiliser_Products_Data1(),FertiliserProducts[[#Headers],[Include or Exclude]], -1)</f>
        <v/>
      </c>
      <c r="E126" s="187" t="str" cm="1">
        <f t="array" ref="E126">Common_InputFunctions.Utility_DisplayArrayInTable(Fertiliser_SourceData.Fertiliser_Products_Data1(),FertiliserProducts[[#Headers],[Include or Exclude]], 0)</f>
        <v/>
      </c>
      <c r="F126" s="187" t="str" cm="1">
        <f t="array" ref="F126">Common_InputFunctions.Utility_DisplayArrayInTable(Fertiliser_SourceData.Fertiliser_Products_Data1(),FertiliserProducts[[#Headers],[Include or Exclude]], 0)</f>
        <v/>
      </c>
      <c r="G126" s="187" t="str" cm="1">
        <f t="array" ref="G126">Common_InputFunctions.Utility_DisplayArrayInTable(Fertiliser_SourceData.Fertiliser_Products_Data1(),FertiliserProducts[[#Headers],[Include or Exclude]], 0)</f>
        <v/>
      </c>
      <c r="H126" s="187" t="str" cm="1">
        <f t="array" ref="H126">Common_InputFunctions.Utility_DisplayArrayInTable(Fertiliser_SourceData.Fertiliser_Products_Data1(),FertiliserProducts[[#Headers],[Include or Exclude]], 0,4)</f>
        <v/>
      </c>
      <c r="I126" s="187" t="str" cm="1">
        <f t="array" ref="I126">Common_InputFunctions.Utility_DisplayArrayInTable(Fertiliser_SourceData.Fertiliser_Products_Data1(),FertiliserProducts[[#Headers],[Include or Exclude]], 0,4)</f>
        <v/>
      </c>
      <c r="J126" s="187" t="str" cm="1">
        <f t="array" ref="J126">Common_InputFunctions.Utility_DisplayArrayInTable(Fertiliser_SourceData.Fertiliser_Products_Data1(),FertiliserProducts[[#Headers],[Include or Exclude]], 0,4)</f>
        <v/>
      </c>
      <c r="K126" s="187" t="str" cm="1">
        <f t="array" ref="K126">Common_InputFunctions.Utility_DisplayArrayInTable(Fertiliser_SourceData.Fertiliser_Products_Data1(),FertiliserProducts[[#Headers],[Include or Exclude]], 0,4)</f>
        <v/>
      </c>
      <c r="L126" s="187" t="str" cm="1">
        <f t="array" ref="L126">Common_InputFunctions.Utility_DisplayArrayInTable(Fertiliser_SourceData.Fertiliser_Products_Data1(),FertiliserProducts[[#Headers],[Include or Exclude]], 0,4)</f>
        <v/>
      </c>
      <c r="M126" s="187" t="str" cm="1">
        <f t="array" ref="M126">Common_InputFunctions.Utility_DisplayArrayInTable(Fertiliser_SourceData.Fertiliser_Products_Data1(),FertiliserProducts[[#Headers],[Include or Exclude]], 0,4)</f>
        <v/>
      </c>
      <c r="N126" s="187" t="str" cm="1">
        <f t="array" ref="N126">Common_InputFunctions.Utility_DisplayArrayInTable(Fertiliser_SourceData.Fertiliser_Products_Data1(),FertiliserProducts[[#Headers],[Include or Exclude]], 0,4)</f>
        <v/>
      </c>
      <c r="O126" s="187" t="str" cm="1">
        <f t="array" ref="O126">Common_InputFunctions.Utility_DisplayArrayInTable(Fertiliser_SourceData.Fertiliser_Products_Data1(),FertiliserProducts[[#Headers],[Include or Exclude]], 0,4)</f>
        <v/>
      </c>
      <c r="P126" s="187" t="str" cm="1">
        <f t="array" ref="P126">Common_InputFunctions.Utility_DisplayArrayInTable(Fertiliser_SourceData.Fertiliser_Products_Data1(),FertiliserProducts[[#Headers],[Include or Exclude]], 0,4)</f>
        <v/>
      </c>
      <c r="Q126" s="187" t="str" cm="1">
        <f t="array" ref="Q126">Common_InputFunctions.Utility_DisplayArrayInTable(Fertiliser_SourceData.Fertiliser_Products_Data1(),FertiliserProducts[[#Headers],[Include or Exclude]], 0,4)</f>
        <v/>
      </c>
      <c r="R126" s="187" t="str" cm="1">
        <f t="array" ref="R126">Common_InputFunctions.Utility_DisplayArrayInTable(Fertiliser_SourceData.Fertiliser_Products_Data1(),FertiliserProducts[[#Headers],[Include or Exclude]], 0,4)</f>
        <v/>
      </c>
      <c r="S126" s="187" t="str" cm="1">
        <f t="array" ref="S126">Common_InputFunctions.Utility_DisplayArrayInTable(Fertiliser_SourceData.Fertiliser_Products_Data1(),FertiliserProducts[[#Headers],[Include or Exclude]], 0,4)</f>
        <v/>
      </c>
      <c r="T126" s="187" t="str" cm="1">
        <f t="array" ref="T126">Common_InputFunctions.Utility_DisplayArrayInTable(Fertiliser_SourceData.Fertiliser_Products_Data1(),FertiliserProducts[[#Headers],[Include or Exclude]], 0,4)</f>
        <v/>
      </c>
      <c r="U126" s="187" t="str" cm="1">
        <f t="array" ref="U126">Common_InputFunctions.Utility_DisplayArrayInTable(Fertiliser_SourceData.Fertiliser_Products_Data1(),FertiliserProducts[[#Headers],[Include or Exclude]], 0,4)</f>
        <v/>
      </c>
      <c r="V126" s="187" t="str" cm="1">
        <f t="array" ref="V126">Common_InputFunctions.Utility_DisplayArrayInTable(Fertiliser_SourceData.Fertiliser_Products_Data1(),FertiliserProducts[[#Headers],[Include or Exclude]], 0,4)</f>
        <v/>
      </c>
      <c r="W126" s="187" t="str" cm="1">
        <f t="array" ref="W126">Common_InputFunctions.Utility_DisplayArrayInTable(Fertiliser_SourceData.Fertiliser_Products_Data1(),FertiliserProducts[[#Headers],[Include or Exclude]], 0,4)</f>
        <v/>
      </c>
      <c r="X126" s="187" t="str" cm="1">
        <f t="array" ref="X126">Common_InputFunctions.Utility_DisplayArrayInTable(Fertiliser_SourceData.Fertiliser_Products_Data1(),FertiliserProducts[[#Headers],[Include or Exclude]], 0,4)</f>
        <v/>
      </c>
      <c r="Y126" s="187" t="str" cm="1">
        <f t="array" ref="Y126">Common_InputFunctions.Utility_DisplayArrayInTable(Fertiliser_SourceData.Fertiliser_Products_Data1(),FertiliserProducts[[#Headers],[Include or Exclude]], 0,4)</f>
        <v/>
      </c>
      <c r="Z126" s="187" t="str" cm="1">
        <f t="array" ref="Z126">Common_InputFunctions.Utility_DisplayArrayInTable(Fertiliser_SourceData.Fertiliser_Products_Data1(),FertiliserProducts[[#Headers],[Include or Exclude]], 0,4)</f>
        <v/>
      </c>
      <c r="AA126" s="187" t="str" cm="1">
        <f t="array" ref="AA126">Common_InputFunctions.Utility_DisplayArrayInTable(Fertiliser_SourceData.Fertiliser_Products_Data1(),FertiliserProducts[[#Headers],[Include or Exclude]], 0,4)</f>
        <v/>
      </c>
      <c r="AB126" s="187" t="str" cm="1">
        <f t="array" ref="AB126">Common_InputFunctions.Utility_DisplayArrayInTable(Fertiliser_SourceData.Fertiliser_Products_Data1(),FertiliserProducts[[#Headers],[Include or Exclude]], 0,4)</f>
        <v/>
      </c>
      <c r="AC126" s="187" t="str" cm="1">
        <f t="array" ref="AC126">Common_InputFunctions.Utility_DisplayArrayInTable(Fertiliser_SourceData.Fertiliser_Products_Data1(),FertiliserProducts[[#Headers],[Include or Exclude]], 0,4)</f>
        <v/>
      </c>
      <c r="AD126" s="187" t="str" cm="1">
        <f t="array" ref="AD126">Common_InputFunctions.Utility_DisplayArrayInTable(Fertiliser_SourceData.Fertiliser_Products_Data1(),FertiliserProducts[[#Headers],[Include or Exclude]], 0,4)</f>
        <v/>
      </c>
      <c r="AE126" s="187" t="str" cm="1">
        <f t="array" ref="AE126">Common_InputFunctions.Utility_DisplayArrayInTable(Fertiliser_SourceData.Fertiliser_Products_Data1(),FertiliserProducts[[#Headers],[Include or Exclude]], 0,4)</f>
        <v/>
      </c>
    </row>
    <row r="127" spans="4:31" ht="20.100000000000001" customHeight="1" x14ac:dyDescent="0.25">
      <c r="D127" s="187" t="str" cm="1">
        <f t="array" ref="D127">Common_InputFunctions.Utility_DisplayArrayInTable(Fertiliser_SourceData.Fertiliser_Products_Data1(),FertiliserProducts[[#Headers],[Include or Exclude]], -1)</f>
        <v/>
      </c>
      <c r="E127" s="187" t="str" cm="1">
        <f t="array" ref="E127">Common_InputFunctions.Utility_DisplayArrayInTable(Fertiliser_SourceData.Fertiliser_Products_Data1(),FertiliserProducts[[#Headers],[Include or Exclude]], 0)</f>
        <v/>
      </c>
      <c r="F127" s="187" t="str" cm="1">
        <f t="array" ref="F127">Common_InputFunctions.Utility_DisplayArrayInTable(Fertiliser_SourceData.Fertiliser_Products_Data1(),FertiliserProducts[[#Headers],[Include or Exclude]], 0)</f>
        <v/>
      </c>
      <c r="G127" s="187" t="str" cm="1">
        <f t="array" ref="G127">Common_InputFunctions.Utility_DisplayArrayInTable(Fertiliser_SourceData.Fertiliser_Products_Data1(),FertiliserProducts[[#Headers],[Include or Exclude]], 0)</f>
        <v/>
      </c>
      <c r="H127" s="187" t="str" cm="1">
        <f t="array" ref="H127">Common_InputFunctions.Utility_DisplayArrayInTable(Fertiliser_SourceData.Fertiliser_Products_Data1(),FertiliserProducts[[#Headers],[Include or Exclude]], 0,4)</f>
        <v/>
      </c>
      <c r="I127" s="187" t="str" cm="1">
        <f t="array" ref="I127">Common_InputFunctions.Utility_DisplayArrayInTable(Fertiliser_SourceData.Fertiliser_Products_Data1(),FertiliserProducts[[#Headers],[Include or Exclude]], 0,4)</f>
        <v/>
      </c>
      <c r="J127" s="187" t="str" cm="1">
        <f t="array" ref="J127">Common_InputFunctions.Utility_DisplayArrayInTable(Fertiliser_SourceData.Fertiliser_Products_Data1(),FertiliserProducts[[#Headers],[Include or Exclude]], 0,4)</f>
        <v/>
      </c>
      <c r="K127" s="187" t="str" cm="1">
        <f t="array" ref="K127">Common_InputFunctions.Utility_DisplayArrayInTable(Fertiliser_SourceData.Fertiliser_Products_Data1(),FertiliserProducts[[#Headers],[Include or Exclude]], 0,4)</f>
        <v/>
      </c>
      <c r="L127" s="187" t="str" cm="1">
        <f t="array" ref="L127">Common_InputFunctions.Utility_DisplayArrayInTable(Fertiliser_SourceData.Fertiliser_Products_Data1(),FertiliserProducts[[#Headers],[Include or Exclude]], 0,4)</f>
        <v/>
      </c>
      <c r="M127" s="187" t="str" cm="1">
        <f t="array" ref="M127">Common_InputFunctions.Utility_DisplayArrayInTable(Fertiliser_SourceData.Fertiliser_Products_Data1(),FertiliserProducts[[#Headers],[Include or Exclude]], 0,4)</f>
        <v/>
      </c>
      <c r="N127" s="187" t="str" cm="1">
        <f t="array" ref="N127">Common_InputFunctions.Utility_DisplayArrayInTable(Fertiliser_SourceData.Fertiliser_Products_Data1(),FertiliserProducts[[#Headers],[Include or Exclude]], 0,4)</f>
        <v/>
      </c>
      <c r="O127" s="187" t="str" cm="1">
        <f t="array" ref="O127">Common_InputFunctions.Utility_DisplayArrayInTable(Fertiliser_SourceData.Fertiliser_Products_Data1(),FertiliserProducts[[#Headers],[Include or Exclude]], 0,4)</f>
        <v/>
      </c>
      <c r="P127" s="187" t="str" cm="1">
        <f t="array" ref="P127">Common_InputFunctions.Utility_DisplayArrayInTable(Fertiliser_SourceData.Fertiliser_Products_Data1(),FertiliserProducts[[#Headers],[Include or Exclude]], 0,4)</f>
        <v/>
      </c>
      <c r="Q127" s="187" t="str" cm="1">
        <f t="array" ref="Q127">Common_InputFunctions.Utility_DisplayArrayInTable(Fertiliser_SourceData.Fertiliser_Products_Data1(),FertiliserProducts[[#Headers],[Include or Exclude]], 0,4)</f>
        <v/>
      </c>
      <c r="R127" s="187" t="str" cm="1">
        <f t="array" ref="R127">Common_InputFunctions.Utility_DisplayArrayInTable(Fertiliser_SourceData.Fertiliser_Products_Data1(),FertiliserProducts[[#Headers],[Include or Exclude]], 0,4)</f>
        <v/>
      </c>
      <c r="S127" s="187" t="str" cm="1">
        <f t="array" ref="S127">Common_InputFunctions.Utility_DisplayArrayInTable(Fertiliser_SourceData.Fertiliser_Products_Data1(),FertiliserProducts[[#Headers],[Include or Exclude]], 0,4)</f>
        <v/>
      </c>
      <c r="T127" s="187" t="str" cm="1">
        <f t="array" ref="T127">Common_InputFunctions.Utility_DisplayArrayInTable(Fertiliser_SourceData.Fertiliser_Products_Data1(),FertiliserProducts[[#Headers],[Include or Exclude]], 0,4)</f>
        <v/>
      </c>
      <c r="U127" s="187" t="str" cm="1">
        <f t="array" ref="U127">Common_InputFunctions.Utility_DisplayArrayInTable(Fertiliser_SourceData.Fertiliser_Products_Data1(),FertiliserProducts[[#Headers],[Include or Exclude]], 0,4)</f>
        <v/>
      </c>
      <c r="V127" s="187" t="str" cm="1">
        <f t="array" ref="V127">Common_InputFunctions.Utility_DisplayArrayInTable(Fertiliser_SourceData.Fertiliser_Products_Data1(),FertiliserProducts[[#Headers],[Include or Exclude]], 0,4)</f>
        <v/>
      </c>
      <c r="W127" s="187" t="str" cm="1">
        <f t="array" ref="W127">Common_InputFunctions.Utility_DisplayArrayInTable(Fertiliser_SourceData.Fertiliser_Products_Data1(),FertiliserProducts[[#Headers],[Include or Exclude]], 0,4)</f>
        <v/>
      </c>
      <c r="X127" s="187" t="str" cm="1">
        <f t="array" ref="X127">Common_InputFunctions.Utility_DisplayArrayInTable(Fertiliser_SourceData.Fertiliser_Products_Data1(),FertiliserProducts[[#Headers],[Include or Exclude]], 0,4)</f>
        <v/>
      </c>
      <c r="Y127" s="187" t="str" cm="1">
        <f t="array" ref="Y127">Common_InputFunctions.Utility_DisplayArrayInTable(Fertiliser_SourceData.Fertiliser_Products_Data1(),FertiliserProducts[[#Headers],[Include or Exclude]], 0,4)</f>
        <v/>
      </c>
      <c r="Z127" s="187" t="str" cm="1">
        <f t="array" ref="Z127">Common_InputFunctions.Utility_DisplayArrayInTable(Fertiliser_SourceData.Fertiliser_Products_Data1(),FertiliserProducts[[#Headers],[Include or Exclude]], 0,4)</f>
        <v/>
      </c>
      <c r="AA127" s="187" t="str" cm="1">
        <f t="array" ref="AA127">Common_InputFunctions.Utility_DisplayArrayInTable(Fertiliser_SourceData.Fertiliser_Products_Data1(),FertiliserProducts[[#Headers],[Include or Exclude]], 0,4)</f>
        <v/>
      </c>
      <c r="AB127" s="187" t="str" cm="1">
        <f t="array" ref="AB127">Common_InputFunctions.Utility_DisplayArrayInTable(Fertiliser_SourceData.Fertiliser_Products_Data1(),FertiliserProducts[[#Headers],[Include or Exclude]], 0,4)</f>
        <v/>
      </c>
      <c r="AC127" s="187" t="str" cm="1">
        <f t="array" ref="AC127">Common_InputFunctions.Utility_DisplayArrayInTable(Fertiliser_SourceData.Fertiliser_Products_Data1(),FertiliserProducts[[#Headers],[Include or Exclude]], 0,4)</f>
        <v/>
      </c>
      <c r="AD127" s="187" t="str" cm="1">
        <f t="array" ref="AD127">Common_InputFunctions.Utility_DisplayArrayInTable(Fertiliser_SourceData.Fertiliser_Products_Data1(),FertiliserProducts[[#Headers],[Include or Exclude]], 0,4)</f>
        <v/>
      </c>
      <c r="AE127" s="187" t="str" cm="1">
        <f t="array" ref="AE127">Common_InputFunctions.Utility_DisplayArrayInTable(Fertiliser_SourceData.Fertiliser_Products_Data1(),FertiliserProducts[[#Headers],[Include or Exclude]], 0,4)</f>
        <v/>
      </c>
    </row>
    <row r="128" spans="4:31" ht="20.100000000000001" customHeight="1" x14ac:dyDescent="0.25">
      <c r="D128" s="187" t="str" cm="1">
        <f t="array" ref="D128">Common_InputFunctions.Utility_DisplayArrayInTable(Fertiliser_SourceData.Fertiliser_Products_Data1(),FertiliserProducts[[#Headers],[Include or Exclude]], -1)</f>
        <v/>
      </c>
      <c r="E128" s="187" t="str" cm="1">
        <f t="array" ref="E128">Common_InputFunctions.Utility_DisplayArrayInTable(Fertiliser_SourceData.Fertiliser_Products_Data1(),FertiliserProducts[[#Headers],[Include or Exclude]], 0)</f>
        <v/>
      </c>
      <c r="F128" s="187" t="str" cm="1">
        <f t="array" ref="F128">Common_InputFunctions.Utility_DisplayArrayInTable(Fertiliser_SourceData.Fertiliser_Products_Data1(),FertiliserProducts[[#Headers],[Include or Exclude]], 0)</f>
        <v/>
      </c>
      <c r="G128" s="187" t="str" cm="1">
        <f t="array" ref="G128">Common_InputFunctions.Utility_DisplayArrayInTable(Fertiliser_SourceData.Fertiliser_Products_Data1(),FertiliserProducts[[#Headers],[Include or Exclude]], 0)</f>
        <v/>
      </c>
      <c r="H128" s="187" t="str" cm="1">
        <f t="array" ref="H128">Common_InputFunctions.Utility_DisplayArrayInTable(Fertiliser_SourceData.Fertiliser_Products_Data1(),FertiliserProducts[[#Headers],[Include or Exclude]], 0,4)</f>
        <v/>
      </c>
      <c r="I128" s="187" t="str" cm="1">
        <f t="array" ref="I128">Common_InputFunctions.Utility_DisplayArrayInTable(Fertiliser_SourceData.Fertiliser_Products_Data1(),FertiliserProducts[[#Headers],[Include or Exclude]], 0,4)</f>
        <v/>
      </c>
      <c r="J128" s="187" t="str" cm="1">
        <f t="array" ref="J128">Common_InputFunctions.Utility_DisplayArrayInTable(Fertiliser_SourceData.Fertiliser_Products_Data1(),FertiliserProducts[[#Headers],[Include or Exclude]], 0,4)</f>
        <v/>
      </c>
      <c r="K128" s="187" t="str" cm="1">
        <f t="array" ref="K128">Common_InputFunctions.Utility_DisplayArrayInTable(Fertiliser_SourceData.Fertiliser_Products_Data1(),FertiliserProducts[[#Headers],[Include or Exclude]], 0,4)</f>
        <v/>
      </c>
      <c r="L128" s="187" t="str" cm="1">
        <f t="array" ref="L128">Common_InputFunctions.Utility_DisplayArrayInTable(Fertiliser_SourceData.Fertiliser_Products_Data1(),FertiliserProducts[[#Headers],[Include or Exclude]], 0,4)</f>
        <v/>
      </c>
      <c r="M128" s="187" t="str" cm="1">
        <f t="array" ref="M128">Common_InputFunctions.Utility_DisplayArrayInTable(Fertiliser_SourceData.Fertiliser_Products_Data1(),FertiliserProducts[[#Headers],[Include or Exclude]], 0,4)</f>
        <v/>
      </c>
      <c r="N128" s="187" t="str" cm="1">
        <f t="array" ref="N128">Common_InputFunctions.Utility_DisplayArrayInTable(Fertiliser_SourceData.Fertiliser_Products_Data1(),FertiliserProducts[[#Headers],[Include or Exclude]], 0,4)</f>
        <v/>
      </c>
      <c r="O128" s="187" t="str" cm="1">
        <f t="array" ref="O128">Common_InputFunctions.Utility_DisplayArrayInTable(Fertiliser_SourceData.Fertiliser_Products_Data1(),FertiliserProducts[[#Headers],[Include or Exclude]], 0,4)</f>
        <v/>
      </c>
      <c r="P128" s="187" t="str" cm="1">
        <f t="array" ref="P128">Common_InputFunctions.Utility_DisplayArrayInTable(Fertiliser_SourceData.Fertiliser_Products_Data1(),FertiliserProducts[[#Headers],[Include or Exclude]], 0,4)</f>
        <v/>
      </c>
      <c r="Q128" s="187" t="str" cm="1">
        <f t="array" ref="Q128">Common_InputFunctions.Utility_DisplayArrayInTable(Fertiliser_SourceData.Fertiliser_Products_Data1(),FertiliserProducts[[#Headers],[Include or Exclude]], 0,4)</f>
        <v/>
      </c>
      <c r="R128" s="187" t="str" cm="1">
        <f t="array" ref="R128">Common_InputFunctions.Utility_DisplayArrayInTable(Fertiliser_SourceData.Fertiliser_Products_Data1(),FertiliserProducts[[#Headers],[Include or Exclude]], 0,4)</f>
        <v/>
      </c>
      <c r="S128" s="187" t="str" cm="1">
        <f t="array" ref="S128">Common_InputFunctions.Utility_DisplayArrayInTable(Fertiliser_SourceData.Fertiliser_Products_Data1(),FertiliserProducts[[#Headers],[Include or Exclude]], 0,4)</f>
        <v/>
      </c>
      <c r="T128" s="187" t="str" cm="1">
        <f t="array" ref="T128">Common_InputFunctions.Utility_DisplayArrayInTable(Fertiliser_SourceData.Fertiliser_Products_Data1(),FertiliserProducts[[#Headers],[Include or Exclude]], 0,4)</f>
        <v/>
      </c>
      <c r="U128" s="187" t="str" cm="1">
        <f t="array" ref="U128">Common_InputFunctions.Utility_DisplayArrayInTable(Fertiliser_SourceData.Fertiliser_Products_Data1(),FertiliserProducts[[#Headers],[Include or Exclude]], 0,4)</f>
        <v/>
      </c>
      <c r="V128" s="187" t="str" cm="1">
        <f t="array" ref="V128">Common_InputFunctions.Utility_DisplayArrayInTable(Fertiliser_SourceData.Fertiliser_Products_Data1(),FertiliserProducts[[#Headers],[Include or Exclude]], 0,4)</f>
        <v/>
      </c>
      <c r="W128" s="187" t="str" cm="1">
        <f t="array" ref="W128">Common_InputFunctions.Utility_DisplayArrayInTable(Fertiliser_SourceData.Fertiliser_Products_Data1(),FertiliserProducts[[#Headers],[Include or Exclude]], 0,4)</f>
        <v/>
      </c>
      <c r="X128" s="187" t="str" cm="1">
        <f t="array" ref="X128">Common_InputFunctions.Utility_DisplayArrayInTable(Fertiliser_SourceData.Fertiliser_Products_Data1(),FertiliserProducts[[#Headers],[Include or Exclude]], 0,4)</f>
        <v/>
      </c>
      <c r="Y128" s="187" t="str" cm="1">
        <f t="array" ref="Y128">Common_InputFunctions.Utility_DisplayArrayInTable(Fertiliser_SourceData.Fertiliser_Products_Data1(),FertiliserProducts[[#Headers],[Include or Exclude]], 0,4)</f>
        <v/>
      </c>
      <c r="Z128" s="187" t="str" cm="1">
        <f t="array" ref="Z128">Common_InputFunctions.Utility_DisplayArrayInTable(Fertiliser_SourceData.Fertiliser_Products_Data1(),FertiliserProducts[[#Headers],[Include or Exclude]], 0,4)</f>
        <v/>
      </c>
      <c r="AA128" s="187" t="str" cm="1">
        <f t="array" ref="AA128">Common_InputFunctions.Utility_DisplayArrayInTable(Fertiliser_SourceData.Fertiliser_Products_Data1(),FertiliserProducts[[#Headers],[Include or Exclude]], 0,4)</f>
        <v/>
      </c>
      <c r="AB128" s="187" t="str" cm="1">
        <f t="array" ref="AB128">Common_InputFunctions.Utility_DisplayArrayInTable(Fertiliser_SourceData.Fertiliser_Products_Data1(),FertiliserProducts[[#Headers],[Include or Exclude]], 0,4)</f>
        <v/>
      </c>
      <c r="AC128" s="187" t="str" cm="1">
        <f t="array" ref="AC128">Common_InputFunctions.Utility_DisplayArrayInTable(Fertiliser_SourceData.Fertiliser_Products_Data1(),FertiliserProducts[[#Headers],[Include or Exclude]], 0,4)</f>
        <v/>
      </c>
      <c r="AD128" s="187" t="str" cm="1">
        <f t="array" ref="AD128">Common_InputFunctions.Utility_DisplayArrayInTable(Fertiliser_SourceData.Fertiliser_Products_Data1(),FertiliserProducts[[#Headers],[Include or Exclude]], 0,4)</f>
        <v/>
      </c>
      <c r="AE128" s="187" t="str" cm="1">
        <f t="array" ref="AE128">Common_InputFunctions.Utility_DisplayArrayInTable(Fertiliser_SourceData.Fertiliser_Products_Data1(),FertiliserProducts[[#Headers],[Include or Exclude]], 0,4)</f>
        <v/>
      </c>
    </row>
    <row r="129" spans="4:31" ht="20.100000000000001" customHeight="1" x14ac:dyDescent="0.25">
      <c r="D129" s="187" t="str" cm="1">
        <f t="array" ref="D129">Common_InputFunctions.Utility_DisplayArrayInTable(Fertiliser_SourceData.Fertiliser_Products_Data1(),FertiliserProducts[[#Headers],[Include or Exclude]], -1)</f>
        <v/>
      </c>
      <c r="E129" s="187" t="str" cm="1">
        <f t="array" ref="E129">Common_InputFunctions.Utility_DisplayArrayInTable(Fertiliser_SourceData.Fertiliser_Products_Data1(),FertiliserProducts[[#Headers],[Include or Exclude]], 0)</f>
        <v/>
      </c>
      <c r="F129" s="187" t="str" cm="1">
        <f t="array" ref="F129">Common_InputFunctions.Utility_DisplayArrayInTable(Fertiliser_SourceData.Fertiliser_Products_Data1(),FertiliserProducts[[#Headers],[Include or Exclude]], 0)</f>
        <v/>
      </c>
      <c r="G129" s="187" t="str" cm="1">
        <f t="array" ref="G129">Common_InputFunctions.Utility_DisplayArrayInTable(Fertiliser_SourceData.Fertiliser_Products_Data1(),FertiliserProducts[[#Headers],[Include or Exclude]], 0)</f>
        <v/>
      </c>
      <c r="H129" s="187" t="str" cm="1">
        <f t="array" ref="H129">Common_InputFunctions.Utility_DisplayArrayInTable(Fertiliser_SourceData.Fertiliser_Products_Data1(),FertiliserProducts[[#Headers],[Include or Exclude]], 0,4)</f>
        <v/>
      </c>
      <c r="I129" s="187" t="str" cm="1">
        <f t="array" ref="I129">Common_InputFunctions.Utility_DisplayArrayInTable(Fertiliser_SourceData.Fertiliser_Products_Data1(),FertiliserProducts[[#Headers],[Include or Exclude]], 0,4)</f>
        <v/>
      </c>
      <c r="J129" s="187" t="str" cm="1">
        <f t="array" ref="J129">Common_InputFunctions.Utility_DisplayArrayInTable(Fertiliser_SourceData.Fertiliser_Products_Data1(),FertiliserProducts[[#Headers],[Include or Exclude]], 0,4)</f>
        <v/>
      </c>
      <c r="K129" s="187" t="str" cm="1">
        <f t="array" ref="K129">Common_InputFunctions.Utility_DisplayArrayInTable(Fertiliser_SourceData.Fertiliser_Products_Data1(),FertiliserProducts[[#Headers],[Include or Exclude]], 0,4)</f>
        <v/>
      </c>
      <c r="L129" s="187" t="str" cm="1">
        <f t="array" ref="L129">Common_InputFunctions.Utility_DisplayArrayInTable(Fertiliser_SourceData.Fertiliser_Products_Data1(),FertiliserProducts[[#Headers],[Include or Exclude]], 0,4)</f>
        <v/>
      </c>
      <c r="M129" s="187" t="str" cm="1">
        <f t="array" ref="M129">Common_InputFunctions.Utility_DisplayArrayInTable(Fertiliser_SourceData.Fertiliser_Products_Data1(),FertiliserProducts[[#Headers],[Include or Exclude]], 0,4)</f>
        <v/>
      </c>
      <c r="N129" s="187" t="str" cm="1">
        <f t="array" ref="N129">Common_InputFunctions.Utility_DisplayArrayInTable(Fertiliser_SourceData.Fertiliser_Products_Data1(),FertiliserProducts[[#Headers],[Include or Exclude]], 0,4)</f>
        <v/>
      </c>
      <c r="O129" s="187" t="str" cm="1">
        <f t="array" ref="O129">Common_InputFunctions.Utility_DisplayArrayInTable(Fertiliser_SourceData.Fertiliser_Products_Data1(),FertiliserProducts[[#Headers],[Include or Exclude]], 0,4)</f>
        <v/>
      </c>
      <c r="P129" s="187" t="str" cm="1">
        <f t="array" ref="P129">Common_InputFunctions.Utility_DisplayArrayInTable(Fertiliser_SourceData.Fertiliser_Products_Data1(),FertiliserProducts[[#Headers],[Include or Exclude]], 0,4)</f>
        <v/>
      </c>
      <c r="Q129" s="187" t="str" cm="1">
        <f t="array" ref="Q129">Common_InputFunctions.Utility_DisplayArrayInTable(Fertiliser_SourceData.Fertiliser_Products_Data1(),FertiliserProducts[[#Headers],[Include or Exclude]], 0,4)</f>
        <v/>
      </c>
      <c r="R129" s="187" t="str" cm="1">
        <f t="array" ref="R129">Common_InputFunctions.Utility_DisplayArrayInTable(Fertiliser_SourceData.Fertiliser_Products_Data1(),FertiliserProducts[[#Headers],[Include or Exclude]], 0,4)</f>
        <v/>
      </c>
      <c r="S129" s="187" t="str" cm="1">
        <f t="array" ref="S129">Common_InputFunctions.Utility_DisplayArrayInTable(Fertiliser_SourceData.Fertiliser_Products_Data1(),FertiliserProducts[[#Headers],[Include or Exclude]], 0,4)</f>
        <v/>
      </c>
      <c r="T129" s="187" t="str" cm="1">
        <f t="array" ref="T129">Common_InputFunctions.Utility_DisplayArrayInTable(Fertiliser_SourceData.Fertiliser_Products_Data1(),FertiliserProducts[[#Headers],[Include or Exclude]], 0,4)</f>
        <v/>
      </c>
      <c r="U129" s="187" t="str" cm="1">
        <f t="array" ref="U129">Common_InputFunctions.Utility_DisplayArrayInTable(Fertiliser_SourceData.Fertiliser_Products_Data1(),FertiliserProducts[[#Headers],[Include or Exclude]], 0,4)</f>
        <v/>
      </c>
      <c r="V129" s="187" t="str" cm="1">
        <f t="array" ref="V129">Common_InputFunctions.Utility_DisplayArrayInTable(Fertiliser_SourceData.Fertiliser_Products_Data1(),FertiliserProducts[[#Headers],[Include or Exclude]], 0,4)</f>
        <v/>
      </c>
      <c r="W129" s="187" t="str" cm="1">
        <f t="array" ref="W129">Common_InputFunctions.Utility_DisplayArrayInTable(Fertiliser_SourceData.Fertiliser_Products_Data1(),FertiliserProducts[[#Headers],[Include or Exclude]], 0,4)</f>
        <v/>
      </c>
      <c r="X129" s="187" t="str" cm="1">
        <f t="array" ref="X129">Common_InputFunctions.Utility_DisplayArrayInTable(Fertiliser_SourceData.Fertiliser_Products_Data1(),FertiliserProducts[[#Headers],[Include or Exclude]], 0,4)</f>
        <v/>
      </c>
      <c r="Y129" s="187" t="str" cm="1">
        <f t="array" ref="Y129">Common_InputFunctions.Utility_DisplayArrayInTable(Fertiliser_SourceData.Fertiliser_Products_Data1(),FertiliserProducts[[#Headers],[Include or Exclude]], 0,4)</f>
        <v/>
      </c>
      <c r="Z129" s="187" t="str" cm="1">
        <f t="array" ref="Z129">Common_InputFunctions.Utility_DisplayArrayInTable(Fertiliser_SourceData.Fertiliser_Products_Data1(),FertiliserProducts[[#Headers],[Include or Exclude]], 0,4)</f>
        <v/>
      </c>
      <c r="AA129" s="187" t="str" cm="1">
        <f t="array" ref="AA129">Common_InputFunctions.Utility_DisplayArrayInTable(Fertiliser_SourceData.Fertiliser_Products_Data1(),FertiliserProducts[[#Headers],[Include or Exclude]], 0,4)</f>
        <v/>
      </c>
      <c r="AB129" s="187" t="str" cm="1">
        <f t="array" ref="AB129">Common_InputFunctions.Utility_DisplayArrayInTable(Fertiliser_SourceData.Fertiliser_Products_Data1(),FertiliserProducts[[#Headers],[Include or Exclude]], 0,4)</f>
        <v/>
      </c>
      <c r="AC129" s="187" t="str" cm="1">
        <f t="array" ref="AC129">Common_InputFunctions.Utility_DisplayArrayInTable(Fertiliser_SourceData.Fertiliser_Products_Data1(),FertiliserProducts[[#Headers],[Include or Exclude]], 0,4)</f>
        <v/>
      </c>
      <c r="AD129" s="187" t="str" cm="1">
        <f t="array" ref="AD129">Common_InputFunctions.Utility_DisplayArrayInTable(Fertiliser_SourceData.Fertiliser_Products_Data1(),FertiliserProducts[[#Headers],[Include or Exclude]], 0,4)</f>
        <v/>
      </c>
      <c r="AE129" s="187" t="str" cm="1">
        <f t="array" ref="AE129">Common_InputFunctions.Utility_DisplayArrayInTable(Fertiliser_SourceData.Fertiliser_Products_Data1(),FertiliserProducts[[#Headers],[Include or Exclude]], 0,4)</f>
        <v/>
      </c>
    </row>
    <row r="130" spans="4:31" ht="20.100000000000001" customHeight="1" x14ac:dyDescent="0.25">
      <c r="D130" s="187" t="str" cm="1">
        <f t="array" ref="D130">Common_InputFunctions.Utility_DisplayArrayInTable(Fertiliser_SourceData.Fertiliser_Products_Data1(),FertiliserProducts[[#Headers],[Include or Exclude]], -1)</f>
        <v/>
      </c>
      <c r="E130" s="187" t="str" cm="1">
        <f t="array" ref="E130">Common_InputFunctions.Utility_DisplayArrayInTable(Fertiliser_SourceData.Fertiliser_Products_Data1(),FertiliserProducts[[#Headers],[Include or Exclude]], 0)</f>
        <v/>
      </c>
      <c r="F130" s="187" t="str" cm="1">
        <f t="array" ref="F130">Common_InputFunctions.Utility_DisplayArrayInTable(Fertiliser_SourceData.Fertiliser_Products_Data1(),FertiliserProducts[[#Headers],[Include or Exclude]], 0)</f>
        <v/>
      </c>
      <c r="G130" s="187" t="str" cm="1">
        <f t="array" ref="G130">Common_InputFunctions.Utility_DisplayArrayInTable(Fertiliser_SourceData.Fertiliser_Products_Data1(),FertiliserProducts[[#Headers],[Include or Exclude]], 0)</f>
        <v/>
      </c>
      <c r="H130" s="187" t="str" cm="1">
        <f t="array" ref="H130">Common_InputFunctions.Utility_DisplayArrayInTable(Fertiliser_SourceData.Fertiliser_Products_Data1(),FertiliserProducts[[#Headers],[Include or Exclude]], 0,4)</f>
        <v/>
      </c>
      <c r="I130" s="187" t="str" cm="1">
        <f t="array" ref="I130">Common_InputFunctions.Utility_DisplayArrayInTable(Fertiliser_SourceData.Fertiliser_Products_Data1(),FertiliserProducts[[#Headers],[Include or Exclude]], 0,4)</f>
        <v/>
      </c>
      <c r="J130" s="187" t="str" cm="1">
        <f t="array" ref="J130">Common_InputFunctions.Utility_DisplayArrayInTable(Fertiliser_SourceData.Fertiliser_Products_Data1(),FertiliserProducts[[#Headers],[Include or Exclude]], 0,4)</f>
        <v/>
      </c>
      <c r="K130" s="187" t="str" cm="1">
        <f t="array" ref="K130">Common_InputFunctions.Utility_DisplayArrayInTable(Fertiliser_SourceData.Fertiliser_Products_Data1(),FertiliserProducts[[#Headers],[Include or Exclude]], 0,4)</f>
        <v/>
      </c>
      <c r="L130" s="187" t="str" cm="1">
        <f t="array" ref="L130">Common_InputFunctions.Utility_DisplayArrayInTable(Fertiliser_SourceData.Fertiliser_Products_Data1(),FertiliserProducts[[#Headers],[Include or Exclude]], 0,4)</f>
        <v/>
      </c>
      <c r="M130" s="187" t="str" cm="1">
        <f t="array" ref="M130">Common_InputFunctions.Utility_DisplayArrayInTable(Fertiliser_SourceData.Fertiliser_Products_Data1(),FertiliserProducts[[#Headers],[Include or Exclude]], 0,4)</f>
        <v/>
      </c>
      <c r="N130" s="187" t="str" cm="1">
        <f t="array" ref="N130">Common_InputFunctions.Utility_DisplayArrayInTable(Fertiliser_SourceData.Fertiliser_Products_Data1(),FertiliserProducts[[#Headers],[Include or Exclude]], 0,4)</f>
        <v/>
      </c>
      <c r="O130" s="187" t="str" cm="1">
        <f t="array" ref="O130">Common_InputFunctions.Utility_DisplayArrayInTable(Fertiliser_SourceData.Fertiliser_Products_Data1(),FertiliserProducts[[#Headers],[Include or Exclude]], 0,4)</f>
        <v/>
      </c>
      <c r="P130" s="187" t="str" cm="1">
        <f t="array" ref="P130">Common_InputFunctions.Utility_DisplayArrayInTable(Fertiliser_SourceData.Fertiliser_Products_Data1(),FertiliserProducts[[#Headers],[Include or Exclude]], 0,4)</f>
        <v/>
      </c>
      <c r="Q130" s="187" t="str" cm="1">
        <f t="array" ref="Q130">Common_InputFunctions.Utility_DisplayArrayInTable(Fertiliser_SourceData.Fertiliser_Products_Data1(),FertiliserProducts[[#Headers],[Include or Exclude]], 0,4)</f>
        <v/>
      </c>
      <c r="R130" s="187" t="str" cm="1">
        <f t="array" ref="R130">Common_InputFunctions.Utility_DisplayArrayInTable(Fertiliser_SourceData.Fertiliser_Products_Data1(),FertiliserProducts[[#Headers],[Include or Exclude]], 0,4)</f>
        <v/>
      </c>
      <c r="S130" s="187" t="str" cm="1">
        <f t="array" ref="S130">Common_InputFunctions.Utility_DisplayArrayInTable(Fertiliser_SourceData.Fertiliser_Products_Data1(),FertiliserProducts[[#Headers],[Include or Exclude]], 0,4)</f>
        <v/>
      </c>
      <c r="T130" s="187" t="str" cm="1">
        <f t="array" ref="T130">Common_InputFunctions.Utility_DisplayArrayInTable(Fertiliser_SourceData.Fertiliser_Products_Data1(),FertiliserProducts[[#Headers],[Include or Exclude]], 0,4)</f>
        <v/>
      </c>
      <c r="U130" s="187" t="str" cm="1">
        <f t="array" ref="U130">Common_InputFunctions.Utility_DisplayArrayInTable(Fertiliser_SourceData.Fertiliser_Products_Data1(),FertiliserProducts[[#Headers],[Include or Exclude]], 0,4)</f>
        <v/>
      </c>
      <c r="V130" s="187" t="str" cm="1">
        <f t="array" ref="V130">Common_InputFunctions.Utility_DisplayArrayInTable(Fertiliser_SourceData.Fertiliser_Products_Data1(),FertiliserProducts[[#Headers],[Include or Exclude]], 0,4)</f>
        <v/>
      </c>
      <c r="W130" s="187" t="str" cm="1">
        <f t="array" ref="W130">Common_InputFunctions.Utility_DisplayArrayInTable(Fertiliser_SourceData.Fertiliser_Products_Data1(),FertiliserProducts[[#Headers],[Include or Exclude]], 0,4)</f>
        <v/>
      </c>
      <c r="X130" s="187" t="str" cm="1">
        <f t="array" ref="X130">Common_InputFunctions.Utility_DisplayArrayInTable(Fertiliser_SourceData.Fertiliser_Products_Data1(),FertiliserProducts[[#Headers],[Include or Exclude]], 0,4)</f>
        <v/>
      </c>
      <c r="Y130" s="187" t="str" cm="1">
        <f t="array" ref="Y130">Common_InputFunctions.Utility_DisplayArrayInTable(Fertiliser_SourceData.Fertiliser_Products_Data1(),FertiliserProducts[[#Headers],[Include or Exclude]], 0,4)</f>
        <v/>
      </c>
      <c r="Z130" s="187" t="str" cm="1">
        <f t="array" ref="Z130">Common_InputFunctions.Utility_DisplayArrayInTable(Fertiliser_SourceData.Fertiliser_Products_Data1(),FertiliserProducts[[#Headers],[Include or Exclude]], 0,4)</f>
        <v/>
      </c>
      <c r="AA130" s="187" t="str" cm="1">
        <f t="array" ref="AA130">Common_InputFunctions.Utility_DisplayArrayInTable(Fertiliser_SourceData.Fertiliser_Products_Data1(),FertiliserProducts[[#Headers],[Include or Exclude]], 0,4)</f>
        <v/>
      </c>
      <c r="AB130" s="187" t="str" cm="1">
        <f t="array" ref="AB130">Common_InputFunctions.Utility_DisplayArrayInTable(Fertiliser_SourceData.Fertiliser_Products_Data1(),FertiliserProducts[[#Headers],[Include or Exclude]], 0,4)</f>
        <v/>
      </c>
      <c r="AC130" s="187" t="str" cm="1">
        <f t="array" ref="AC130">Common_InputFunctions.Utility_DisplayArrayInTable(Fertiliser_SourceData.Fertiliser_Products_Data1(),FertiliserProducts[[#Headers],[Include or Exclude]], 0,4)</f>
        <v/>
      </c>
      <c r="AD130" s="187" t="str" cm="1">
        <f t="array" ref="AD130">Common_InputFunctions.Utility_DisplayArrayInTable(Fertiliser_SourceData.Fertiliser_Products_Data1(),FertiliserProducts[[#Headers],[Include or Exclude]], 0,4)</f>
        <v/>
      </c>
      <c r="AE130" s="187" t="str" cm="1">
        <f t="array" ref="AE130">Common_InputFunctions.Utility_DisplayArrayInTable(Fertiliser_SourceData.Fertiliser_Products_Data1(),FertiliserProducts[[#Headers],[Include or Exclude]], 0,4)</f>
        <v/>
      </c>
    </row>
    <row r="131" spans="4:31" ht="20.100000000000001" customHeight="1" x14ac:dyDescent="0.25">
      <c r="D131" s="187" t="str" cm="1">
        <f t="array" ref="D131">Common_InputFunctions.Utility_DisplayArrayInTable(Fertiliser_SourceData.Fertiliser_Products_Data1(),FertiliserProducts[[#Headers],[Include or Exclude]], -1)</f>
        <v/>
      </c>
      <c r="E131" s="187" t="str" cm="1">
        <f t="array" ref="E131">Common_InputFunctions.Utility_DisplayArrayInTable(Fertiliser_SourceData.Fertiliser_Products_Data1(),FertiliserProducts[[#Headers],[Include or Exclude]], 0)</f>
        <v/>
      </c>
      <c r="F131" s="187" t="str" cm="1">
        <f t="array" ref="F131">Common_InputFunctions.Utility_DisplayArrayInTable(Fertiliser_SourceData.Fertiliser_Products_Data1(),FertiliserProducts[[#Headers],[Include or Exclude]], 0)</f>
        <v/>
      </c>
      <c r="G131" s="187" t="str" cm="1">
        <f t="array" ref="G131">Common_InputFunctions.Utility_DisplayArrayInTable(Fertiliser_SourceData.Fertiliser_Products_Data1(),FertiliserProducts[[#Headers],[Include or Exclude]], 0)</f>
        <v/>
      </c>
      <c r="H131" s="187" t="str" cm="1">
        <f t="array" ref="H131">Common_InputFunctions.Utility_DisplayArrayInTable(Fertiliser_SourceData.Fertiliser_Products_Data1(),FertiliserProducts[[#Headers],[Include or Exclude]], 0,4)</f>
        <v/>
      </c>
      <c r="I131" s="187" t="str" cm="1">
        <f t="array" ref="I131">Common_InputFunctions.Utility_DisplayArrayInTable(Fertiliser_SourceData.Fertiliser_Products_Data1(),FertiliserProducts[[#Headers],[Include or Exclude]], 0,4)</f>
        <v/>
      </c>
      <c r="J131" s="187" t="str" cm="1">
        <f t="array" ref="J131">Common_InputFunctions.Utility_DisplayArrayInTable(Fertiliser_SourceData.Fertiliser_Products_Data1(),FertiliserProducts[[#Headers],[Include or Exclude]], 0,4)</f>
        <v/>
      </c>
      <c r="K131" s="187" t="str" cm="1">
        <f t="array" ref="K131">Common_InputFunctions.Utility_DisplayArrayInTable(Fertiliser_SourceData.Fertiliser_Products_Data1(),FertiliserProducts[[#Headers],[Include or Exclude]], 0,4)</f>
        <v/>
      </c>
      <c r="L131" s="187" t="str" cm="1">
        <f t="array" ref="L131">Common_InputFunctions.Utility_DisplayArrayInTable(Fertiliser_SourceData.Fertiliser_Products_Data1(),FertiliserProducts[[#Headers],[Include or Exclude]], 0,4)</f>
        <v/>
      </c>
      <c r="M131" s="187" t="str" cm="1">
        <f t="array" ref="M131">Common_InputFunctions.Utility_DisplayArrayInTable(Fertiliser_SourceData.Fertiliser_Products_Data1(),FertiliserProducts[[#Headers],[Include or Exclude]], 0,4)</f>
        <v/>
      </c>
      <c r="N131" s="187" t="str" cm="1">
        <f t="array" ref="N131">Common_InputFunctions.Utility_DisplayArrayInTable(Fertiliser_SourceData.Fertiliser_Products_Data1(),FertiliserProducts[[#Headers],[Include or Exclude]], 0,4)</f>
        <v/>
      </c>
      <c r="O131" s="187" t="str" cm="1">
        <f t="array" ref="O131">Common_InputFunctions.Utility_DisplayArrayInTable(Fertiliser_SourceData.Fertiliser_Products_Data1(),FertiliserProducts[[#Headers],[Include or Exclude]], 0,4)</f>
        <v/>
      </c>
      <c r="P131" s="187" t="str" cm="1">
        <f t="array" ref="P131">Common_InputFunctions.Utility_DisplayArrayInTable(Fertiliser_SourceData.Fertiliser_Products_Data1(),FertiliserProducts[[#Headers],[Include or Exclude]], 0,4)</f>
        <v/>
      </c>
      <c r="Q131" s="187" t="str" cm="1">
        <f t="array" ref="Q131">Common_InputFunctions.Utility_DisplayArrayInTable(Fertiliser_SourceData.Fertiliser_Products_Data1(),FertiliserProducts[[#Headers],[Include or Exclude]], 0,4)</f>
        <v/>
      </c>
      <c r="R131" s="187" t="str" cm="1">
        <f t="array" ref="R131">Common_InputFunctions.Utility_DisplayArrayInTable(Fertiliser_SourceData.Fertiliser_Products_Data1(),FertiliserProducts[[#Headers],[Include or Exclude]], 0,4)</f>
        <v/>
      </c>
      <c r="S131" s="187" t="str" cm="1">
        <f t="array" ref="S131">Common_InputFunctions.Utility_DisplayArrayInTable(Fertiliser_SourceData.Fertiliser_Products_Data1(),FertiliserProducts[[#Headers],[Include or Exclude]], 0,4)</f>
        <v/>
      </c>
      <c r="T131" s="187" t="str" cm="1">
        <f t="array" ref="T131">Common_InputFunctions.Utility_DisplayArrayInTable(Fertiliser_SourceData.Fertiliser_Products_Data1(),FertiliserProducts[[#Headers],[Include or Exclude]], 0,4)</f>
        <v/>
      </c>
      <c r="U131" s="187" t="str" cm="1">
        <f t="array" ref="U131">Common_InputFunctions.Utility_DisplayArrayInTable(Fertiliser_SourceData.Fertiliser_Products_Data1(),FertiliserProducts[[#Headers],[Include or Exclude]], 0,4)</f>
        <v/>
      </c>
      <c r="V131" s="187" t="str" cm="1">
        <f t="array" ref="V131">Common_InputFunctions.Utility_DisplayArrayInTable(Fertiliser_SourceData.Fertiliser_Products_Data1(),FertiliserProducts[[#Headers],[Include or Exclude]], 0,4)</f>
        <v/>
      </c>
      <c r="W131" s="187" t="str" cm="1">
        <f t="array" ref="W131">Common_InputFunctions.Utility_DisplayArrayInTable(Fertiliser_SourceData.Fertiliser_Products_Data1(),FertiliserProducts[[#Headers],[Include or Exclude]], 0,4)</f>
        <v/>
      </c>
      <c r="X131" s="187" t="str" cm="1">
        <f t="array" ref="X131">Common_InputFunctions.Utility_DisplayArrayInTable(Fertiliser_SourceData.Fertiliser_Products_Data1(),FertiliserProducts[[#Headers],[Include or Exclude]], 0,4)</f>
        <v/>
      </c>
      <c r="Y131" s="187" t="str" cm="1">
        <f t="array" ref="Y131">Common_InputFunctions.Utility_DisplayArrayInTable(Fertiliser_SourceData.Fertiliser_Products_Data1(),FertiliserProducts[[#Headers],[Include or Exclude]], 0,4)</f>
        <v/>
      </c>
      <c r="Z131" s="187" t="str" cm="1">
        <f t="array" ref="Z131">Common_InputFunctions.Utility_DisplayArrayInTable(Fertiliser_SourceData.Fertiliser_Products_Data1(),FertiliserProducts[[#Headers],[Include or Exclude]], 0,4)</f>
        <v/>
      </c>
      <c r="AA131" s="187" t="str" cm="1">
        <f t="array" ref="AA131">Common_InputFunctions.Utility_DisplayArrayInTable(Fertiliser_SourceData.Fertiliser_Products_Data1(),FertiliserProducts[[#Headers],[Include or Exclude]], 0,4)</f>
        <v/>
      </c>
      <c r="AB131" s="187" t="str" cm="1">
        <f t="array" ref="AB131">Common_InputFunctions.Utility_DisplayArrayInTable(Fertiliser_SourceData.Fertiliser_Products_Data1(),FertiliserProducts[[#Headers],[Include or Exclude]], 0,4)</f>
        <v/>
      </c>
      <c r="AC131" s="187" t="str" cm="1">
        <f t="array" ref="AC131">Common_InputFunctions.Utility_DisplayArrayInTable(Fertiliser_SourceData.Fertiliser_Products_Data1(),FertiliserProducts[[#Headers],[Include or Exclude]], 0,4)</f>
        <v/>
      </c>
      <c r="AD131" s="187" t="str" cm="1">
        <f t="array" ref="AD131">Common_InputFunctions.Utility_DisplayArrayInTable(Fertiliser_SourceData.Fertiliser_Products_Data1(),FertiliserProducts[[#Headers],[Include or Exclude]], 0,4)</f>
        <v/>
      </c>
      <c r="AE131" s="187" t="str" cm="1">
        <f t="array" ref="AE131">Common_InputFunctions.Utility_DisplayArrayInTable(Fertiliser_SourceData.Fertiliser_Products_Data1(),FertiliserProducts[[#Headers],[Include or Exclude]], 0,4)</f>
        <v/>
      </c>
    </row>
    <row r="132" spans="4:31" ht="20.100000000000001" customHeight="1" x14ac:dyDescent="0.25">
      <c r="D132" s="187" t="str" cm="1">
        <f t="array" ref="D132">Common_InputFunctions.Utility_DisplayArrayInTable(Fertiliser_SourceData.Fertiliser_Products_Data1(),FertiliserProducts[[#Headers],[Include or Exclude]], -1)</f>
        <v/>
      </c>
      <c r="E132" s="187" t="str" cm="1">
        <f t="array" ref="E132">Common_InputFunctions.Utility_DisplayArrayInTable(Fertiliser_SourceData.Fertiliser_Products_Data1(),FertiliserProducts[[#Headers],[Include or Exclude]], 0)</f>
        <v/>
      </c>
      <c r="F132" s="187" t="str" cm="1">
        <f t="array" ref="F132">Common_InputFunctions.Utility_DisplayArrayInTable(Fertiliser_SourceData.Fertiliser_Products_Data1(),FertiliserProducts[[#Headers],[Include or Exclude]], 0)</f>
        <v/>
      </c>
      <c r="G132" s="187" t="str" cm="1">
        <f t="array" ref="G132">Common_InputFunctions.Utility_DisplayArrayInTable(Fertiliser_SourceData.Fertiliser_Products_Data1(),FertiliserProducts[[#Headers],[Include or Exclude]], 0)</f>
        <v/>
      </c>
      <c r="H132" s="187" t="str" cm="1">
        <f t="array" ref="H132">Common_InputFunctions.Utility_DisplayArrayInTable(Fertiliser_SourceData.Fertiliser_Products_Data1(),FertiliserProducts[[#Headers],[Include or Exclude]], 0,4)</f>
        <v/>
      </c>
      <c r="I132" s="187" t="str" cm="1">
        <f t="array" ref="I132">Common_InputFunctions.Utility_DisplayArrayInTable(Fertiliser_SourceData.Fertiliser_Products_Data1(),FertiliserProducts[[#Headers],[Include or Exclude]], 0,4)</f>
        <v/>
      </c>
      <c r="J132" s="187" t="str" cm="1">
        <f t="array" ref="J132">Common_InputFunctions.Utility_DisplayArrayInTable(Fertiliser_SourceData.Fertiliser_Products_Data1(),FertiliserProducts[[#Headers],[Include or Exclude]], 0,4)</f>
        <v/>
      </c>
      <c r="K132" s="187" t="str" cm="1">
        <f t="array" ref="K132">Common_InputFunctions.Utility_DisplayArrayInTable(Fertiliser_SourceData.Fertiliser_Products_Data1(),FertiliserProducts[[#Headers],[Include or Exclude]], 0,4)</f>
        <v/>
      </c>
      <c r="L132" s="187" t="str" cm="1">
        <f t="array" ref="L132">Common_InputFunctions.Utility_DisplayArrayInTable(Fertiliser_SourceData.Fertiliser_Products_Data1(),FertiliserProducts[[#Headers],[Include or Exclude]], 0,4)</f>
        <v/>
      </c>
      <c r="M132" s="187" t="str" cm="1">
        <f t="array" ref="M132">Common_InputFunctions.Utility_DisplayArrayInTable(Fertiliser_SourceData.Fertiliser_Products_Data1(),FertiliserProducts[[#Headers],[Include or Exclude]], 0,4)</f>
        <v/>
      </c>
      <c r="N132" s="187" t="str" cm="1">
        <f t="array" ref="N132">Common_InputFunctions.Utility_DisplayArrayInTable(Fertiliser_SourceData.Fertiliser_Products_Data1(),FertiliserProducts[[#Headers],[Include or Exclude]], 0,4)</f>
        <v/>
      </c>
      <c r="O132" s="187" t="str" cm="1">
        <f t="array" ref="O132">Common_InputFunctions.Utility_DisplayArrayInTable(Fertiliser_SourceData.Fertiliser_Products_Data1(),FertiliserProducts[[#Headers],[Include or Exclude]], 0,4)</f>
        <v/>
      </c>
      <c r="P132" s="187" t="str" cm="1">
        <f t="array" ref="P132">Common_InputFunctions.Utility_DisplayArrayInTable(Fertiliser_SourceData.Fertiliser_Products_Data1(),FertiliserProducts[[#Headers],[Include or Exclude]], 0,4)</f>
        <v/>
      </c>
      <c r="Q132" s="187" t="str" cm="1">
        <f t="array" ref="Q132">Common_InputFunctions.Utility_DisplayArrayInTable(Fertiliser_SourceData.Fertiliser_Products_Data1(),FertiliserProducts[[#Headers],[Include or Exclude]], 0,4)</f>
        <v/>
      </c>
      <c r="R132" s="187" t="str" cm="1">
        <f t="array" ref="R132">Common_InputFunctions.Utility_DisplayArrayInTable(Fertiliser_SourceData.Fertiliser_Products_Data1(),FertiliserProducts[[#Headers],[Include or Exclude]], 0,4)</f>
        <v/>
      </c>
      <c r="S132" s="187" t="str" cm="1">
        <f t="array" ref="S132">Common_InputFunctions.Utility_DisplayArrayInTable(Fertiliser_SourceData.Fertiliser_Products_Data1(),FertiliserProducts[[#Headers],[Include or Exclude]], 0,4)</f>
        <v/>
      </c>
      <c r="T132" s="187" t="str" cm="1">
        <f t="array" ref="T132">Common_InputFunctions.Utility_DisplayArrayInTable(Fertiliser_SourceData.Fertiliser_Products_Data1(),FertiliserProducts[[#Headers],[Include or Exclude]], 0,4)</f>
        <v/>
      </c>
      <c r="U132" s="187" t="str" cm="1">
        <f t="array" ref="U132">Common_InputFunctions.Utility_DisplayArrayInTable(Fertiliser_SourceData.Fertiliser_Products_Data1(),FertiliserProducts[[#Headers],[Include or Exclude]], 0,4)</f>
        <v/>
      </c>
      <c r="V132" s="187" t="str" cm="1">
        <f t="array" ref="V132">Common_InputFunctions.Utility_DisplayArrayInTable(Fertiliser_SourceData.Fertiliser_Products_Data1(),FertiliserProducts[[#Headers],[Include or Exclude]], 0,4)</f>
        <v/>
      </c>
      <c r="W132" s="187" t="str" cm="1">
        <f t="array" ref="W132">Common_InputFunctions.Utility_DisplayArrayInTable(Fertiliser_SourceData.Fertiliser_Products_Data1(),FertiliserProducts[[#Headers],[Include or Exclude]], 0,4)</f>
        <v/>
      </c>
      <c r="X132" s="187" t="str" cm="1">
        <f t="array" ref="X132">Common_InputFunctions.Utility_DisplayArrayInTable(Fertiliser_SourceData.Fertiliser_Products_Data1(),FertiliserProducts[[#Headers],[Include or Exclude]], 0,4)</f>
        <v/>
      </c>
      <c r="Y132" s="187" t="str" cm="1">
        <f t="array" ref="Y132">Common_InputFunctions.Utility_DisplayArrayInTable(Fertiliser_SourceData.Fertiliser_Products_Data1(),FertiliserProducts[[#Headers],[Include or Exclude]], 0,4)</f>
        <v/>
      </c>
      <c r="Z132" s="187" t="str" cm="1">
        <f t="array" ref="Z132">Common_InputFunctions.Utility_DisplayArrayInTable(Fertiliser_SourceData.Fertiliser_Products_Data1(),FertiliserProducts[[#Headers],[Include or Exclude]], 0,4)</f>
        <v/>
      </c>
      <c r="AA132" s="187" t="str" cm="1">
        <f t="array" ref="AA132">Common_InputFunctions.Utility_DisplayArrayInTable(Fertiliser_SourceData.Fertiliser_Products_Data1(),FertiliserProducts[[#Headers],[Include or Exclude]], 0,4)</f>
        <v/>
      </c>
      <c r="AB132" s="187" t="str" cm="1">
        <f t="array" ref="AB132">Common_InputFunctions.Utility_DisplayArrayInTable(Fertiliser_SourceData.Fertiliser_Products_Data1(),FertiliserProducts[[#Headers],[Include or Exclude]], 0,4)</f>
        <v/>
      </c>
      <c r="AC132" s="187" t="str" cm="1">
        <f t="array" ref="AC132">Common_InputFunctions.Utility_DisplayArrayInTable(Fertiliser_SourceData.Fertiliser_Products_Data1(),FertiliserProducts[[#Headers],[Include or Exclude]], 0,4)</f>
        <v/>
      </c>
      <c r="AD132" s="187" t="str" cm="1">
        <f t="array" ref="AD132">Common_InputFunctions.Utility_DisplayArrayInTable(Fertiliser_SourceData.Fertiliser_Products_Data1(),FertiliserProducts[[#Headers],[Include or Exclude]], 0,4)</f>
        <v/>
      </c>
      <c r="AE132" s="187" t="str" cm="1">
        <f t="array" ref="AE132">Common_InputFunctions.Utility_DisplayArrayInTable(Fertiliser_SourceData.Fertiliser_Products_Data1(),FertiliserProducts[[#Headers],[Include or Exclude]], 0,4)</f>
        <v/>
      </c>
    </row>
    <row r="133" spans="4:31" ht="20.100000000000001" customHeight="1" x14ac:dyDescent="0.25">
      <c r="D133" s="187" t="str" cm="1">
        <f t="array" ref="D133">Common_InputFunctions.Utility_DisplayArrayInTable(Fertiliser_SourceData.Fertiliser_Products_Data1(),FertiliserProducts[[#Headers],[Include or Exclude]], -1)</f>
        <v/>
      </c>
      <c r="E133" s="187" t="str" cm="1">
        <f t="array" ref="E133">Common_InputFunctions.Utility_DisplayArrayInTable(Fertiliser_SourceData.Fertiliser_Products_Data1(),FertiliserProducts[[#Headers],[Include or Exclude]], 0)</f>
        <v/>
      </c>
      <c r="F133" s="187" t="str" cm="1">
        <f t="array" ref="F133">Common_InputFunctions.Utility_DisplayArrayInTable(Fertiliser_SourceData.Fertiliser_Products_Data1(),FertiliserProducts[[#Headers],[Include or Exclude]], 0)</f>
        <v/>
      </c>
      <c r="G133" s="187" t="str" cm="1">
        <f t="array" ref="G133">Common_InputFunctions.Utility_DisplayArrayInTable(Fertiliser_SourceData.Fertiliser_Products_Data1(),FertiliserProducts[[#Headers],[Include or Exclude]], 0)</f>
        <v/>
      </c>
      <c r="H133" s="187" t="str" cm="1">
        <f t="array" ref="H133">Common_InputFunctions.Utility_DisplayArrayInTable(Fertiliser_SourceData.Fertiliser_Products_Data1(),FertiliserProducts[[#Headers],[Include or Exclude]], 0,4)</f>
        <v/>
      </c>
      <c r="I133" s="187" t="str" cm="1">
        <f t="array" ref="I133">Common_InputFunctions.Utility_DisplayArrayInTable(Fertiliser_SourceData.Fertiliser_Products_Data1(),FertiliserProducts[[#Headers],[Include or Exclude]], 0,4)</f>
        <v/>
      </c>
      <c r="J133" s="187" t="str" cm="1">
        <f t="array" ref="J133">Common_InputFunctions.Utility_DisplayArrayInTable(Fertiliser_SourceData.Fertiliser_Products_Data1(),FertiliserProducts[[#Headers],[Include or Exclude]], 0,4)</f>
        <v/>
      </c>
      <c r="K133" s="187" t="str" cm="1">
        <f t="array" ref="K133">Common_InputFunctions.Utility_DisplayArrayInTable(Fertiliser_SourceData.Fertiliser_Products_Data1(),FertiliserProducts[[#Headers],[Include or Exclude]], 0,4)</f>
        <v/>
      </c>
      <c r="L133" s="187" t="str" cm="1">
        <f t="array" ref="L133">Common_InputFunctions.Utility_DisplayArrayInTable(Fertiliser_SourceData.Fertiliser_Products_Data1(),FertiliserProducts[[#Headers],[Include or Exclude]], 0,4)</f>
        <v/>
      </c>
      <c r="M133" s="187" t="str" cm="1">
        <f t="array" ref="M133">Common_InputFunctions.Utility_DisplayArrayInTable(Fertiliser_SourceData.Fertiliser_Products_Data1(),FertiliserProducts[[#Headers],[Include or Exclude]], 0,4)</f>
        <v/>
      </c>
      <c r="N133" s="187" t="str" cm="1">
        <f t="array" ref="N133">Common_InputFunctions.Utility_DisplayArrayInTable(Fertiliser_SourceData.Fertiliser_Products_Data1(),FertiliserProducts[[#Headers],[Include or Exclude]], 0,4)</f>
        <v/>
      </c>
      <c r="O133" s="187" t="str" cm="1">
        <f t="array" ref="O133">Common_InputFunctions.Utility_DisplayArrayInTable(Fertiliser_SourceData.Fertiliser_Products_Data1(),FertiliserProducts[[#Headers],[Include or Exclude]], 0,4)</f>
        <v/>
      </c>
      <c r="P133" s="187" t="str" cm="1">
        <f t="array" ref="P133">Common_InputFunctions.Utility_DisplayArrayInTable(Fertiliser_SourceData.Fertiliser_Products_Data1(),FertiliserProducts[[#Headers],[Include or Exclude]], 0,4)</f>
        <v/>
      </c>
      <c r="Q133" s="187" t="str" cm="1">
        <f t="array" ref="Q133">Common_InputFunctions.Utility_DisplayArrayInTable(Fertiliser_SourceData.Fertiliser_Products_Data1(),FertiliserProducts[[#Headers],[Include or Exclude]], 0,4)</f>
        <v/>
      </c>
      <c r="R133" s="187" t="str" cm="1">
        <f t="array" ref="R133">Common_InputFunctions.Utility_DisplayArrayInTable(Fertiliser_SourceData.Fertiliser_Products_Data1(),FertiliserProducts[[#Headers],[Include or Exclude]], 0,4)</f>
        <v/>
      </c>
      <c r="S133" s="187" t="str" cm="1">
        <f t="array" ref="S133">Common_InputFunctions.Utility_DisplayArrayInTable(Fertiliser_SourceData.Fertiliser_Products_Data1(),FertiliserProducts[[#Headers],[Include or Exclude]], 0,4)</f>
        <v/>
      </c>
      <c r="T133" s="187" t="str" cm="1">
        <f t="array" ref="T133">Common_InputFunctions.Utility_DisplayArrayInTable(Fertiliser_SourceData.Fertiliser_Products_Data1(),FertiliserProducts[[#Headers],[Include or Exclude]], 0,4)</f>
        <v/>
      </c>
      <c r="U133" s="187" t="str" cm="1">
        <f t="array" ref="U133">Common_InputFunctions.Utility_DisplayArrayInTable(Fertiliser_SourceData.Fertiliser_Products_Data1(),FertiliserProducts[[#Headers],[Include or Exclude]], 0,4)</f>
        <v/>
      </c>
      <c r="V133" s="187" t="str" cm="1">
        <f t="array" ref="V133">Common_InputFunctions.Utility_DisplayArrayInTable(Fertiliser_SourceData.Fertiliser_Products_Data1(),FertiliserProducts[[#Headers],[Include or Exclude]], 0,4)</f>
        <v/>
      </c>
      <c r="W133" s="187" t="str" cm="1">
        <f t="array" ref="W133">Common_InputFunctions.Utility_DisplayArrayInTable(Fertiliser_SourceData.Fertiliser_Products_Data1(),FertiliserProducts[[#Headers],[Include or Exclude]], 0,4)</f>
        <v/>
      </c>
      <c r="X133" s="187" t="str" cm="1">
        <f t="array" ref="X133">Common_InputFunctions.Utility_DisplayArrayInTable(Fertiliser_SourceData.Fertiliser_Products_Data1(),FertiliserProducts[[#Headers],[Include or Exclude]], 0,4)</f>
        <v/>
      </c>
      <c r="Y133" s="187" t="str" cm="1">
        <f t="array" ref="Y133">Common_InputFunctions.Utility_DisplayArrayInTable(Fertiliser_SourceData.Fertiliser_Products_Data1(),FertiliserProducts[[#Headers],[Include or Exclude]], 0,4)</f>
        <v/>
      </c>
      <c r="Z133" s="187" t="str" cm="1">
        <f t="array" ref="Z133">Common_InputFunctions.Utility_DisplayArrayInTable(Fertiliser_SourceData.Fertiliser_Products_Data1(),FertiliserProducts[[#Headers],[Include or Exclude]], 0,4)</f>
        <v/>
      </c>
      <c r="AA133" s="187" t="str" cm="1">
        <f t="array" ref="AA133">Common_InputFunctions.Utility_DisplayArrayInTable(Fertiliser_SourceData.Fertiliser_Products_Data1(),FertiliserProducts[[#Headers],[Include or Exclude]], 0,4)</f>
        <v/>
      </c>
      <c r="AB133" s="187" t="str" cm="1">
        <f t="array" ref="AB133">Common_InputFunctions.Utility_DisplayArrayInTable(Fertiliser_SourceData.Fertiliser_Products_Data1(),FertiliserProducts[[#Headers],[Include or Exclude]], 0,4)</f>
        <v/>
      </c>
      <c r="AC133" s="187" t="str" cm="1">
        <f t="array" ref="AC133">Common_InputFunctions.Utility_DisplayArrayInTable(Fertiliser_SourceData.Fertiliser_Products_Data1(),FertiliserProducts[[#Headers],[Include or Exclude]], 0,4)</f>
        <v/>
      </c>
      <c r="AD133" s="187" t="str" cm="1">
        <f t="array" ref="AD133">Common_InputFunctions.Utility_DisplayArrayInTable(Fertiliser_SourceData.Fertiliser_Products_Data1(),FertiliserProducts[[#Headers],[Include or Exclude]], 0,4)</f>
        <v/>
      </c>
      <c r="AE133" s="187" t="str" cm="1">
        <f t="array" ref="AE133">Common_InputFunctions.Utility_DisplayArrayInTable(Fertiliser_SourceData.Fertiliser_Products_Data1(),FertiliserProducts[[#Headers],[Include or Exclude]], 0,4)</f>
        <v/>
      </c>
    </row>
    <row r="134" spans="4:31" ht="20.100000000000001" customHeight="1" x14ac:dyDescent="0.25">
      <c r="D134" s="187" t="str" cm="1">
        <f t="array" ref="D134">Common_InputFunctions.Utility_DisplayArrayInTable(Fertiliser_SourceData.Fertiliser_Products_Data1(),FertiliserProducts[[#Headers],[Include or Exclude]], -1)</f>
        <v/>
      </c>
      <c r="E134" s="187" t="str" cm="1">
        <f t="array" ref="E134">Common_InputFunctions.Utility_DisplayArrayInTable(Fertiliser_SourceData.Fertiliser_Products_Data1(),FertiliserProducts[[#Headers],[Include or Exclude]], 0)</f>
        <v/>
      </c>
      <c r="F134" s="187" t="str" cm="1">
        <f t="array" ref="F134">Common_InputFunctions.Utility_DisplayArrayInTable(Fertiliser_SourceData.Fertiliser_Products_Data1(),FertiliserProducts[[#Headers],[Include or Exclude]], 0)</f>
        <v/>
      </c>
      <c r="G134" s="187" t="str" cm="1">
        <f t="array" ref="G134">Common_InputFunctions.Utility_DisplayArrayInTable(Fertiliser_SourceData.Fertiliser_Products_Data1(),FertiliserProducts[[#Headers],[Include or Exclude]], 0)</f>
        <v/>
      </c>
      <c r="H134" s="187" t="str" cm="1">
        <f t="array" ref="H134">Common_InputFunctions.Utility_DisplayArrayInTable(Fertiliser_SourceData.Fertiliser_Products_Data1(),FertiliserProducts[[#Headers],[Include or Exclude]], 0,4)</f>
        <v/>
      </c>
      <c r="I134" s="187" t="str" cm="1">
        <f t="array" ref="I134">Common_InputFunctions.Utility_DisplayArrayInTable(Fertiliser_SourceData.Fertiliser_Products_Data1(),FertiliserProducts[[#Headers],[Include or Exclude]], 0,4)</f>
        <v/>
      </c>
      <c r="J134" s="187" t="str" cm="1">
        <f t="array" ref="J134">Common_InputFunctions.Utility_DisplayArrayInTable(Fertiliser_SourceData.Fertiliser_Products_Data1(),FertiliserProducts[[#Headers],[Include or Exclude]], 0,4)</f>
        <v/>
      </c>
      <c r="K134" s="187" t="str" cm="1">
        <f t="array" ref="K134">Common_InputFunctions.Utility_DisplayArrayInTable(Fertiliser_SourceData.Fertiliser_Products_Data1(),FertiliserProducts[[#Headers],[Include or Exclude]], 0,4)</f>
        <v/>
      </c>
      <c r="L134" s="187" t="str" cm="1">
        <f t="array" ref="L134">Common_InputFunctions.Utility_DisplayArrayInTable(Fertiliser_SourceData.Fertiliser_Products_Data1(),FertiliserProducts[[#Headers],[Include or Exclude]], 0,4)</f>
        <v/>
      </c>
      <c r="M134" s="187" t="str" cm="1">
        <f t="array" ref="M134">Common_InputFunctions.Utility_DisplayArrayInTable(Fertiliser_SourceData.Fertiliser_Products_Data1(),FertiliserProducts[[#Headers],[Include or Exclude]], 0,4)</f>
        <v/>
      </c>
      <c r="N134" s="187" t="str" cm="1">
        <f t="array" ref="N134">Common_InputFunctions.Utility_DisplayArrayInTable(Fertiliser_SourceData.Fertiliser_Products_Data1(),FertiliserProducts[[#Headers],[Include or Exclude]], 0,4)</f>
        <v/>
      </c>
      <c r="O134" s="187" t="str" cm="1">
        <f t="array" ref="O134">Common_InputFunctions.Utility_DisplayArrayInTable(Fertiliser_SourceData.Fertiliser_Products_Data1(),FertiliserProducts[[#Headers],[Include or Exclude]], 0,4)</f>
        <v/>
      </c>
      <c r="P134" s="187" t="str" cm="1">
        <f t="array" ref="P134">Common_InputFunctions.Utility_DisplayArrayInTable(Fertiliser_SourceData.Fertiliser_Products_Data1(),FertiliserProducts[[#Headers],[Include or Exclude]], 0,4)</f>
        <v/>
      </c>
      <c r="Q134" s="187" t="str" cm="1">
        <f t="array" ref="Q134">Common_InputFunctions.Utility_DisplayArrayInTable(Fertiliser_SourceData.Fertiliser_Products_Data1(),FertiliserProducts[[#Headers],[Include or Exclude]], 0,4)</f>
        <v/>
      </c>
      <c r="R134" s="187" t="str" cm="1">
        <f t="array" ref="R134">Common_InputFunctions.Utility_DisplayArrayInTable(Fertiliser_SourceData.Fertiliser_Products_Data1(),FertiliserProducts[[#Headers],[Include or Exclude]], 0,4)</f>
        <v/>
      </c>
      <c r="S134" s="187" t="str" cm="1">
        <f t="array" ref="S134">Common_InputFunctions.Utility_DisplayArrayInTable(Fertiliser_SourceData.Fertiliser_Products_Data1(),FertiliserProducts[[#Headers],[Include or Exclude]], 0,4)</f>
        <v/>
      </c>
      <c r="T134" s="187" t="str" cm="1">
        <f t="array" ref="T134">Common_InputFunctions.Utility_DisplayArrayInTable(Fertiliser_SourceData.Fertiliser_Products_Data1(),FertiliserProducts[[#Headers],[Include or Exclude]], 0,4)</f>
        <v/>
      </c>
      <c r="U134" s="187" t="str" cm="1">
        <f t="array" ref="U134">Common_InputFunctions.Utility_DisplayArrayInTable(Fertiliser_SourceData.Fertiliser_Products_Data1(),FertiliserProducts[[#Headers],[Include or Exclude]], 0,4)</f>
        <v/>
      </c>
      <c r="V134" s="187" t="str" cm="1">
        <f t="array" ref="V134">Common_InputFunctions.Utility_DisplayArrayInTable(Fertiliser_SourceData.Fertiliser_Products_Data1(),FertiliserProducts[[#Headers],[Include or Exclude]], 0,4)</f>
        <v/>
      </c>
      <c r="W134" s="187" t="str" cm="1">
        <f t="array" ref="W134">Common_InputFunctions.Utility_DisplayArrayInTable(Fertiliser_SourceData.Fertiliser_Products_Data1(),FertiliserProducts[[#Headers],[Include or Exclude]], 0,4)</f>
        <v/>
      </c>
      <c r="X134" s="187" t="str" cm="1">
        <f t="array" ref="X134">Common_InputFunctions.Utility_DisplayArrayInTable(Fertiliser_SourceData.Fertiliser_Products_Data1(),FertiliserProducts[[#Headers],[Include or Exclude]], 0,4)</f>
        <v/>
      </c>
      <c r="Y134" s="187" t="str" cm="1">
        <f t="array" ref="Y134">Common_InputFunctions.Utility_DisplayArrayInTable(Fertiliser_SourceData.Fertiliser_Products_Data1(),FertiliserProducts[[#Headers],[Include or Exclude]], 0,4)</f>
        <v/>
      </c>
      <c r="Z134" s="187" t="str" cm="1">
        <f t="array" ref="Z134">Common_InputFunctions.Utility_DisplayArrayInTable(Fertiliser_SourceData.Fertiliser_Products_Data1(),FertiliserProducts[[#Headers],[Include or Exclude]], 0,4)</f>
        <v/>
      </c>
      <c r="AA134" s="187" t="str" cm="1">
        <f t="array" ref="AA134">Common_InputFunctions.Utility_DisplayArrayInTable(Fertiliser_SourceData.Fertiliser_Products_Data1(),FertiliserProducts[[#Headers],[Include or Exclude]], 0,4)</f>
        <v/>
      </c>
      <c r="AB134" s="187" t="str" cm="1">
        <f t="array" ref="AB134">Common_InputFunctions.Utility_DisplayArrayInTable(Fertiliser_SourceData.Fertiliser_Products_Data1(),FertiliserProducts[[#Headers],[Include or Exclude]], 0,4)</f>
        <v/>
      </c>
      <c r="AC134" s="187" t="str" cm="1">
        <f t="array" ref="AC134">Common_InputFunctions.Utility_DisplayArrayInTable(Fertiliser_SourceData.Fertiliser_Products_Data1(),FertiliserProducts[[#Headers],[Include or Exclude]], 0,4)</f>
        <v/>
      </c>
      <c r="AD134" s="187" t="str" cm="1">
        <f t="array" ref="AD134">Common_InputFunctions.Utility_DisplayArrayInTable(Fertiliser_SourceData.Fertiliser_Products_Data1(),FertiliserProducts[[#Headers],[Include or Exclude]], 0,4)</f>
        <v/>
      </c>
      <c r="AE134" s="187" t="str" cm="1">
        <f t="array" ref="AE134">Common_InputFunctions.Utility_DisplayArrayInTable(Fertiliser_SourceData.Fertiliser_Products_Data1(),FertiliserProducts[[#Headers],[Include or Exclude]], 0,4)</f>
        <v/>
      </c>
    </row>
    <row r="135" spans="4:31" ht="20.100000000000001" customHeight="1" x14ac:dyDescent="0.25">
      <c r="D135" s="187" t="str" cm="1">
        <f t="array" ref="D135">Common_InputFunctions.Utility_DisplayArrayInTable(Fertiliser_SourceData.Fertiliser_Products_Data1(),FertiliserProducts[[#Headers],[Include or Exclude]], -1)</f>
        <v/>
      </c>
      <c r="E135" s="187" t="str" cm="1">
        <f t="array" ref="E135">Common_InputFunctions.Utility_DisplayArrayInTable(Fertiliser_SourceData.Fertiliser_Products_Data1(),FertiliserProducts[[#Headers],[Include or Exclude]], 0)</f>
        <v/>
      </c>
      <c r="F135" s="187" t="str" cm="1">
        <f t="array" ref="F135">Common_InputFunctions.Utility_DisplayArrayInTable(Fertiliser_SourceData.Fertiliser_Products_Data1(),FertiliserProducts[[#Headers],[Include or Exclude]], 0)</f>
        <v/>
      </c>
      <c r="G135" s="187" t="str" cm="1">
        <f t="array" ref="G135">Common_InputFunctions.Utility_DisplayArrayInTable(Fertiliser_SourceData.Fertiliser_Products_Data1(),FertiliserProducts[[#Headers],[Include or Exclude]], 0)</f>
        <v/>
      </c>
      <c r="H135" s="187" t="str" cm="1">
        <f t="array" ref="H135">Common_InputFunctions.Utility_DisplayArrayInTable(Fertiliser_SourceData.Fertiliser_Products_Data1(),FertiliserProducts[[#Headers],[Include or Exclude]], 0,4)</f>
        <v/>
      </c>
      <c r="I135" s="187" t="str" cm="1">
        <f t="array" ref="I135">Common_InputFunctions.Utility_DisplayArrayInTable(Fertiliser_SourceData.Fertiliser_Products_Data1(),FertiliserProducts[[#Headers],[Include or Exclude]], 0,4)</f>
        <v/>
      </c>
      <c r="J135" s="187" t="str" cm="1">
        <f t="array" ref="J135">Common_InputFunctions.Utility_DisplayArrayInTable(Fertiliser_SourceData.Fertiliser_Products_Data1(),FertiliserProducts[[#Headers],[Include or Exclude]], 0,4)</f>
        <v/>
      </c>
      <c r="K135" s="187" t="str" cm="1">
        <f t="array" ref="K135">Common_InputFunctions.Utility_DisplayArrayInTable(Fertiliser_SourceData.Fertiliser_Products_Data1(),FertiliserProducts[[#Headers],[Include or Exclude]], 0,4)</f>
        <v/>
      </c>
      <c r="L135" s="187" t="str" cm="1">
        <f t="array" ref="L135">Common_InputFunctions.Utility_DisplayArrayInTable(Fertiliser_SourceData.Fertiliser_Products_Data1(),FertiliserProducts[[#Headers],[Include or Exclude]], 0,4)</f>
        <v/>
      </c>
      <c r="M135" s="187" t="str" cm="1">
        <f t="array" ref="M135">Common_InputFunctions.Utility_DisplayArrayInTable(Fertiliser_SourceData.Fertiliser_Products_Data1(),FertiliserProducts[[#Headers],[Include or Exclude]], 0,4)</f>
        <v/>
      </c>
      <c r="N135" s="187" t="str" cm="1">
        <f t="array" ref="N135">Common_InputFunctions.Utility_DisplayArrayInTable(Fertiliser_SourceData.Fertiliser_Products_Data1(),FertiliserProducts[[#Headers],[Include or Exclude]], 0,4)</f>
        <v/>
      </c>
      <c r="O135" s="187" t="str" cm="1">
        <f t="array" ref="O135">Common_InputFunctions.Utility_DisplayArrayInTable(Fertiliser_SourceData.Fertiliser_Products_Data1(),FertiliserProducts[[#Headers],[Include or Exclude]], 0,4)</f>
        <v/>
      </c>
      <c r="P135" s="187" t="str" cm="1">
        <f t="array" ref="P135">Common_InputFunctions.Utility_DisplayArrayInTable(Fertiliser_SourceData.Fertiliser_Products_Data1(),FertiliserProducts[[#Headers],[Include or Exclude]], 0,4)</f>
        <v/>
      </c>
      <c r="Q135" s="187" t="str" cm="1">
        <f t="array" ref="Q135">Common_InputFunctions.Utility_DisplayArrayInTable(Fertiliser_SourceData.Fertiliser_Products_Data1(),FertiliserProducts[[#Headers],[Include or Exclude]], 0,4)</f>
        <v/>
      </c>
      <c r="R135" s="187" t="str" cm="1">
        <f t="array" ref="R135">Common_InputFunctions.Utility_DisplayArrayInTable(Fertiliser_SourceData.Fertiliser_Products_Data1(),FertiliserProducts[[#Headers],[Include or Exclude]], 0,4)</f>
        <v/>
      </c>
      <c r="S135" s="187" t="str" cm="1">
        <f t="array" ref="S135">Common_InputFunctions.Utility_DisplayArrayInTable(Fertiliser_SourceData.Fertiliser_Products_Data1(),FertiliserProducts[[#Headers],[Include or Exclude]], 0,4)</f>
        <v/>
      </c>
      <c r="T135" s="187" t="str" cm="1">
        <f t="array" ref="T135">Common_InputFunctions.Utility_DisplayArrayInTable(Fertiliser_SourceData.Fertiliser_Products_Data1(),FertiliserProducts[[#Headers],[Include or Exclude]], 0,4)</f>
        <v/>
      </c>
      <c r="U135" s="187" t="str" cm="1">
        <f t="array" ref="U135">Common_InputFunctions.Utility_DisplayArrayInTable(Fertiliser_SourceData.Fertiliser_Products_Data1(),FertiliserProducts[[#Headers],[Include or Exclude]], 0,4)</f>
        <v/>
      </c>
      <c r="V135" s="187" t="str" cm="1">
        <f t="array" ref="V135">Common_InputFunctions.Utility_DisplayArrayInTable(Fertiliser_SourceData.Fertiliser_Products_Data1(),FertiliserProducts[[#Headers],[Include or Exclude]], 0,4)</f>
        <v/>
      </c>
      <c r="W135" s="187" t="str" cm="1">
        <f t="array" ref="W135">Common_InputFunctions.Utility_DisplayArrayInTable(Fertiliser_SourceData.Fertiliser_Products_Data1(),FertiliserProducts[[#Headers],[Include or Exclude]], 0,4)</f>
        <v/>
      </c>
      <c r="X135" s="187" t="str" cm="1">
        <f t="array" ref="X135">Common_InputFunctions.Utility_DisplayArrayInTable(Fertiliser_SourceData.Fertiliser_Products_Data1(),FertiliserProducts[[#Headers],[Include or Exclude]], 0,4)</f>
        <v/>
      </c>
      <c r="Y135" s="187" t="str" cm="1">
        <f t="array" ref="Y135">Common_InputFunctions.Utility_DisplayArrayInTable(Fertiliser_SourceData.Fertiliser_Products_Data1(),FertiliserProducts[[#Headers],[Include or Exclude]], 0,4)</f>
        <v/>
      </c>
      <c r="Z135" s="187" t="str" cm="1">
        <f t="array" ref="Z135">Common_InputFunctions.Utility_DisplayArrayInTable(Fertiliser_SourceData.Fertiliser_Products_Data1(),FertiliserProducts[[#Headers],[Include or Exclude]], 0,4)</f>
        <v/>
      </c>
      <c r="AA135" s="187" t="str" cm="1">
        <f t="array" ref="AA135">Common_InputFunctions.Utility_DisplayArrayInTable(Fertiliser_SourceData.Fertiliser_Products_Data1(),FertiliserProducts[[#Headers],[Include or Exclude]], 0,4)</f>
        <v/>
      </c>
      <c r="AB135" s="187" t="str" cm="1">
        <f t="array" ref="AB135">Common_InputFunctions.Utility_DisplayArrayInTable(Fertiliser_SourceData.Fertiliser_Products_Data1(),FertiliserProducts[[#Headers],[Include or Exclude]], 0,4)</f>
        <v/>
      </c>
      <c r="AC135" s="187" t="str" cm="1">
        <f t="array" ref="AC135">Common_InputFunctions.Utility_DisplayArrayInTable(Fertiliser_SourceData.Fertiliser_Products_Data1(),FertiliserProducts[[#Headers],[Include or Exclude]], 0,4)</f>
        <v/>
      </c>
      <c r="AD135" s="187" t="str" cm="1">
        <f t="array" ref="AD135">Common_InputFunctions.Utility_DisplayArrayInTable(Fertiliser_SourceData.Fertiliser_Products_Data1(),FertiliserProducts[[#Headers],[Include or Exclude]], 0,4)</f>
        <v/>
      </c>
      <c r="AE135" s="187" t="str" cm="1">
        <f t="array" ref="AE135">Common_InputFunctions.Utility_DisplayArrayInTable(Fertiliser_SourceData.Fertiliser_Products_Data1(),FertiliserProducts[[#Headers],[Include or Exclude]], 0,4)</f>
        <v/>
      </c>
    </row>
    <row r="136" spans="4:31" ht="20.100000000000001" customHeight="1" x14ac:dyDescent="0.25">
      <c r="D136" s="187" t="str" cm="1">
        <f t="array" ref="D136">Common_InputFunctions.Utility_DisplayArrayInTable(Fertiliser_SourceData.Fertiliser_Products_Data1(),FertiliserProducts[[#Headers],[Include or Exclude]], -1)</f>
        <v/>
      </c>
      <c r="E136" s="187" t="str" cm="1">
        <f t="array" ref="E136">Common_InputFunctions.Utility_DisplayArrayInTable(Fertiliser_SourceData.Fertiliser_Products_Data1(),FertiliserProducts[[#Headers],[Include or Exclude]], 0)</f>
        <v/>
      </c>
      <c r="F136" s="187" t="str" cm="1">
        <f t="array" ref="F136">Common_InputFunctions.Utility_DisplayArrayInTable(Fertiliser_SourceData.Fertiliser_Products_Data1(),FertiliserProducts[[#Headers],[Include or Exclude]], 0)</f>
        <v/>
      </c>
      <c r="G136" s="187" t="str" cm="1">
        <f t="array" ref="G136">Common_InputFunctions.Utility_DisplayArrayInTable(Fertiliser_SourceData.Fertiliser_Products_Data1(),FertiliserProducts[[#Headers],[Include or Exclude]], 0)</f>
        <v/>
      </c>
      <c r="H136" s="187" t="str" cm="1">
        <f t="array" ref="H136">Common_InputFunctions.Utility_DisplayArrayInTable(Fertiliser_SourceData.Fertiliser_Products_Data1(),FertiliserProducts[[#Headers],[Include or Exclude]], 0,4)</f>
        <v/>
      </c>
      <c r="I136" s="187" t="str" cm="1">
        <f t="array" ref="I136">Common_InputFunctions.Utility_DisplayArrayInTable(Fertiliser_SourceData.Fertiliser_Products_Data1(),FertiliserProducts[[#Headers],[Include or Exclude]], 0,4)</f>
        <v/>
      </c>
      <c r="J136" s="187" t="str" cm="1">
        <f t="array" ref="J136">Common_InputFunctions.Utility_DisplayArrayInTable(Fertiliser_SourceData.Fertiliser_Products_Data1(),FertiliserProducts[[#Headers],[Include or Exclude]], 0,4)</f>
        <v/>
      </c>
      <c r="K136" s="187" t="str" cm="1">
        <f t="array" ref="K136">Common_InputFunctions.Utility_DisplayArrayInTable(Fertiliser_SourceData.Fertiliser_Products_Data1(),FertiliserProducts[[#Headers],[Include or Exclude]], 0,4)</f>
        <v/>
      </c>
      <c r="L136" s="187" t="str" cm="1">
        <f t="array" ref="L136">Common_InputFunctions.Utility_DisplayArrayInTable(Fertiliser_SourceData.Fertiliser_Products_Data1(),FertiliserProducts[[#Headers],[Include or Exclude]], 0,4)</f>
        <v/>
      </c>
      <c r="M136" s="187" t="str" cm="1">
        <f t="array" ref="M136">Common_InputFunctions.Utility_DisplayArrayInTable(Fertiliser_SourceData.Fertiliser_Products_Data1(),FertiliserProducts[[#Headers],[Include or Exclude]], 0,4)</f>
        <v/>
      </c>
      <c r="N136" s="187" t="str" cm="1">
        <f t="array" ref="N136">Common_InputFunctions.Utility_DisplayArrayInTable(Fertiliser_SourceData.Fertiliser_Products_Data1(),FertiliserProducts[[#Headers],[Include or Exclude]], 0,4)</f>
        <v/>
      </c>
      <c r="O136" s="187" t="str" cm="1">
        <f t="array" ref="O136">Common_InputFunctions.Utility_DisplayArrayInTable(Fertiliser_SourceData.Fertiliser_Products_Data1(),FertiliserProducts[[#Headers],[Include or Exclude]], 0,4)</f>
        <v/>
      </c>
      <c r="P136" s="187" t="str" cm="1">
        <f t="array" ref="P136">Common_InputFunctions.Utility_DisplayArrayInTable(Fertiliser_SourceData.Fertiliser_Products_Data1(),FertiliserProducts[[#Headers],[Include or Exclude]], 0,4)</f>
        <v/>
      </c>
      <c r="Q136" s="187" t="str" cm="1">
        <f t="array" ref="Q136">Common_InputFunctions.Utility_DisplayArrayInTable(Fertiliser_SourceData.Fertiliser_Products_Data1(),FertiliserProducts[[#Headers],[Include or Exclude]], 0,4)</f>
        <v/>
      </c>
      <c r="R136" s="187" t="str" cm="1">
        <f t="array" ref="R136">Common_InputFunctions.Utility_DisplayArrayInTable(Fertiliser_SourceData.Fertiliser_Products_Data1(),FertiliserProducts[[#Headers],[Include or Exclude]], 0,4)</f>
        <v/>
      </c>
      <c r="S136" s="187" t="str" cm="1">
        <f t="array" ref="S136">Common_InputFunctions.Utility_DisplayArrayInTable(Fertiliser_SourceData.Fertiliser_Products_Data1(),FertiliserProducts[[#Headers],[Include or Exclude]], 0,4)</f>
        <v/>
      </c>
      <c r="T136" s="187" t="str" cm="1">
        <f t="array" ref="T136">Common_InputFunctions.Utility_DisplayArrayInTable(Fertiliser_SourceData.Fertiliser_Products_Data1(),FertiliserProducts[[#Headers],[Include or Exclude]], 0,4)</f>
        <v/>
      </c>
      <c r="U136" s="187" t="str" cm="1">
        <f t="array" ref="U136">Common_InputFunctions.Utility_DisplayArrayInTable(Fertiliser_SourceData.Fertiliser_Products_Data1(),FertiliserProducts[[#Headers],[Include or Exclude]], 0,4)</f>
        <v/>
      </c>
      <c r="V136" s="187" t="str" cm="1">
        <f t="array" ref="V136">Common_InputFunctions.Utility_DisplayArrayInTable(Fertiliser_SourceData.Fertiliser_Products_Data1(),FertiliserProducts[[#Headers],[Include or Exclude]], 0,4)</f>
        <v/>
      </c>
      <c r="W136" s="187" t="str" cm="1">
        <f t="array" ref="W136">Common_InputFunctions.Utility_DisplayArrayInTable(Fertiliser_SourceData.Fertiliser_Products_Data1(),FertiliserProducts[[#Headers],[Include or Exclude]], 0,4)</f>
        <v/>
      </c>
      <c r="X136" s="187" t="str" cm="1">
        <f t="array" ref="X136">Common_InputFunctions.Utility_DisplayArrayInTable(Fertiliser_SourceData.Fertiliser_Products_Data1(),FertiliserProducts[[#Headers],[Include or Exclude]], 0,4)</f>
        <v/>
      </c>
      <c r="Y136" s="187" t="str" cm="1">
        <f t="array" ref="Y136">Common_InputFunctions.Utility_DisplayArrayInTable(Fertiliser_SourceData.Fertiliser_Products_Data1(),FertiliserProducts[[#Headers],[Include or Exclude]], 0,4)</f>
        <v/>
      </c>
      <c r="Z136" s="187" t="str" cm="1">
        <f t="array" ref="Z136">Common_InputFunctions.Utility_DisplayArrayInTable(Fertiliser_SourceData.Fertiliser_Products_Data1(),FertiliserProducts[[#Headers],[Include or Exclude]], 0,4)</f>
        <v/>
      </c>
      <c r="AA136" s="187" t="str" cm="1">
        <f t="array" ref="AA136">Common_InputFunctions.Utility_DisplayArrayInTable(Fertiliser_SourceData.Fertiliser_Products_Data1(),FertiliserProducts[[#Headers],[Include or Exclude]], 0,4)</f>
        <v/>
      </c>
      <c r="AB136" s="187" t="str" cm="1">
        <f t="array" ref="AB136">Common_InputFunctions.Utility_DisplayArrayInTable(Fertiliser_SourceData.Fertiliser_Products_Data1(),FertiliserProducts[[#Headers],[Include or Exclude]], 0,4)</f>
        <v/>
      </c>
      <c r="AC136" s="187" t="str" cm="1">
        <f t="array" ref="AC136">Common_InputFunctions.Utility_DisplayArrayInTable(Fertiliser_SourceData.Fertiliser_Products_Data1(),FertiliserProducts[[#Headers],[Include or Exclude]], 0,4)</f>
        <v/>
      </c>
      <c r="AD136" s="187" t="str" cm="1">
        <f t="array" ref="AD136">Common_InputFunctions.Utility_DisplayArrayInTable(Fertiliser_SourceData.Fertiliser_Products_Data1(),FertiliserProducts[[#Headers],[Include or Exclude]], 0,4)</f>
        <v/>
      </c>
      <c r="AE136" s="187" t="str" cm="1">
        <f t="array" ref="AE136">Common_InputFunctions.Utility_DisplayArrayInTable(Fertiliser_SourceData.Fertiliser_Products_Data1(),FertiliserProducts[[#Headers],[Include or Exclude]], 0,4)</f>
        <v/>
      </c>
    </row>
    <row r="137" spans="4:31" ht="20.100000000000001" customHeight="1" x14ac:dyDescent="0.25">
      <c r="D137" s="187" t="str" cm="1">
        <f t="array" ref="D137">Common_InputFunctions.Utility_DisplayArrayInTable(Fertiliser_SourceData.Fertiliser_Products_Data1(),FertiliserProducts[[#Headers],[Include or Exclude]], -1)</f>
        <v/>
      </c>
      <c r="E137" s="187" t="str" cm="1">
        <f t="array" ref="E137">Common_InputFunctions.Utility_DisplayArrayInTable(Fertiliser_SourceData.Fertiliser_Products_Data1(),FertiliserProducts[[#Headers],[Include or Exclude]], 0)</f>
        <v/>
      </c>
      <c r="F137" s="187" t="str" cm="1">
        <f t="array" ref="F137">Common_InputFunctions.Utility_DisplayArrayInTable(Fertiliser_SourceData.Fertiliser_Products_Data1(),FertiliserProducts[[#Headers],[Include or Exclude]], 0)</f>
        <v/>
      </c>
      <c r="G137" s="187" t="str" cm="1">
        <f t="array" ref="G137">Common_InputFunctions.Utility_DisplayArrayInTable(Fertiliser_SourceData.Fertiliser_Products_Data1(),FertiliserProducts[[#Headers],[Include or Exclude]], 0)</f>
        <v/>
      </c>
      <c r="H137" s="187" t="str" cm="1">
        <f t="array" ref="H137">Common_InputFunctions.Utility_DisplayArrayInTable(Fertiliser_SourceData.Fertiliser_Products_Data1(),FertiliserProducts[[#Headers],[Include or Exclude]], 0,4)</f>
        <v/>
      </c>
      <c r="I137" s="187" t="str" cm="1">
        <f t="array" ref="I137">Common_InputFunctions.Utility_DisplayArrayInTable(Fertiliser_SourceData.Fertiliser_Products_Data1(),FertiliserProducts[[#Headers],[Include or Exclude]], 0,4)</f>
        <v/>
      </c>
      <c r="J137" s="187" t="str" cm="1">
        <f t="array" ref="J137">Common_InputFunctions.Utility_DisplayArrayInTable(Fertiliser_SourceData.Fertiliser_Products_Data1(),FertiliserProducts[[#Headers],[Include or Exclude]], 0,4)</f>
        <v/>
      </c>
      <c r="K137" s="187" t="str" cm="1">
        <f t="array" ref="K137">Common_InputFunctions.Utility_DisplayArrayInTable(Fertiliser_SourceData.Fertiliser_Products_Data1(),FertiliserProducts[[#Headers],[Include or Exclude]], 0,4)</f>
        <v/>
      </c>
      <c r="L137" s="187" t="str" cm="1">
        <f t="array" ref="L137">Common_InputFunctions.Utility_DisplayArrayInTable(Fertiliser_SourceData.Fertiliser_Products_Data1(),FertiliserProducts[[#Headers],[Include or Exclude]], 0,4)</f>
        <v/>
      </c>
      <c r="M137" s="187" t="str" cm="1">
        <f t="array" ref="M137">Common_InputFunctions.Utility_DisplayArrayInTable(Fertiliser_SourceData.Fertiliser_Products_Data1(),FertiliserProducts[[#Headers],[Include or Exclude]], 0,4)</f>
        <v/>
      </c>
      <c r="N137" s="187" t="str" cm="1">
        <f t="array" ref="N137">Common_InputFunctions.Utility_DisplayArrayInTable(Fertiliser_SourceData.Fertiliser_Products_Data1(),FertiliserProducts[[#Headers],[Include or Exclude]], 0,4)</f>
        <v/>
      </c>
      <c r="O137" s="187" t="str" cm="1">
        <f t="array" ref="O137">Common_InputFunctions.Utility_DisplayArrayInTable(Fertiliser_SourceData.Fertiliser_Products_Data1(),FertiliserProducts[[#Headers],[Include or Exclude]], 0,4)</f>
        <v/>
      </c>
      <c r="P137" s="187" t="str" cm="1">
        <f t="array" ref="P137">Common_InputFunctions.Utility_DisplayArrayInTable(Fertiliser_SourceData.Fertiliser_Products_Data1(),FertiliserProducts[[#Headers],[Include or Exclude]], 0,4)</f>
        <v/>
      </c>
      <c r="Q137" s="187" t="str" cm="1">
        <f t="array" ref="Q137">Common_InputFunctions.Utility_DisplayArrayInTable(Fertiliser_SourceData.Fertiliser_Products_Data1(),FertiliserProducts[[#Headers],[Include or Exclude]], 0,4)</f>
        <v/>
      </c>
      <c r="R137" s="187" t="str" cm="1">
        <f t="array" ref="R137">Common_InputFunctions.Utility_DisplayArrayInTable(Fertiliser_SourceData.Fertiliser_Products_Data1(),FertiliserProducts[[#Headers],[Include or Exclude]], 0,4)</f>
        <v/>
      </c>
      <c r="S137" s="187" t="str" cm="1">
        <f t="array" ref="S137">Common_InputFunctions.Utility_DisplayArrayInTable(Fertiliser_SourceData.Fertiliser_Products_Data1(),FertiliserProducts[[#Headers],[Include or Exclude]], 0,4)</f>
        <v/>
      </c>
      <c r="T137" s="187" t="str" cm="1">
        <f t="array" ref="T137">Common_InputFunctions.Utility_DisplayArrayInTable(Fertiliser_SourceData.Fertiliser_Products_Data1(),FertiliserProducts[[#Headers],[Include or Exclude]], 0,4)</f>
        <v/>
      </c>
      <c r="U137" s="187" t="str" cm="1">
        <f t="array" ref="U137">Common_InputFunctions.Utility_DisplayArrayInTable(Fertiliser_SourceData.Fertiliser_Products_Data1(),FertiliserProducts[[#Headers],[Include or Exclude]], 0,4)</f>
        <v/>
      </c>
      <c r="V137" s="187" t="str" cm="1">
        <f t="array" ref="V137">Common_InputFunctions.Utility_DisplayArrayInTable(Fertiliser_SourceData.Fertiliser_Products_Data1(),FertiliserProducts[[#Headers],[Include or Exclude]], 0,4)</f>
        <v/>
      </c>
      <c r="W137" s="187" t="str" cm="1">
        <f t="array" ref="W137">Common_InputFunctions.Utility_DisplayArrayInTable(Fertiliser_SourceData.Fertiliser_Products_Data1(),FertiliserProducts[[#Headers],[Include or Exclude]], 0,4)</f>
        <v/>
      </c>
      <c r="X137" s="187" t="str" cm="1">
        <f t="array" ref="X137">Common_InputFunctions.Utility_DisplayArrayInTable(Fertiliser_SourceData.Fertiliser_Products_Data1(),FertiliserProducts[[#Headers],[Include or Exclude]], 0,4)</f>
        <v/>
      </c>
      <c r="Y137" s="187" t="str" cm="1">
        <f t="array" ref="Y137">Common_InputFunctions.Utility_DisplayArrayInTable(Fertiliser_SourceData.Fertiliser_Products_Data1(),FertiliserProducts[[#Headers],[Include or Exclude]], 0,4)</f>
        <v/>
      </c>
      <c r="Z137" s="187" t="str" cm="1">
        <f t="array" ref="Z137">Common_InputFunctions.Utility_DisplayArrayInTable(Fertiliser_SourceData.Fertiliser_Products_Data1(),FertiliserProducts[[#Headers],[Include or Exclude]], 0,4)</f>
        <v/>
      </c>
      <c r="AA137" s="187" t="str" cm="1">
        <f t="array" ref="AA137">Common_InputFunctions.Utility_DisplayArrayInTable(Fertiliser_SourceData.Fertiliser_Products_Data1(),FertiliserProducts[[#Headers],[Include or Exclude]], 0,4)</f>
        <v/>
      </c>
      <c r="AB137" s="187" t="str" cm="1">
        <f t="array" ref="AB137">Common_InputFunctions.Utility_DisplayArrayInTable(Fertiliser_SourceData.Fertiliser_Products_Data1(),FertiliserProducts[[#Headers],[Include or Exclude]], 0,4)</f>
        <v/>
      </c>
      <c r="AC137" s="187" t="str" cm="1">
        <f t="array" ref="AC137">Common_InputFunctions.Utility_DisplayArrayInTable(Fertiliser_SourceData.Fertiliser_Products_Data1(),FertiliserProducts[[#Headers],[Include or Exclude]], 0,4)</f>
        <v/>
      </c>
      <c r="AD137" s="187" t="str" cm="1">
        <f t="array" ref="AD137">Common_InputFunctions.Utility_DisplayArrayInTable(Fertiliser_SourceData.Fertiliser_Products_Data1(),FertiliserProducts[[#Headers],[Include or Exclude]], 0,4)</f>
        <v/>
      </c>
      <c r="AE137" s="187" t="str" cm="1">
        <f t="array" ref="AE137">Common_InputFunctions.Utility_DisplayArrayInTable(Fertiliser_SourceData.Fertiliser_Products_Data1(),FertiliserProducts[[#Headers],[Include or Exclude]], 0,4)</f>
        <v/>
      </c>
    </row>
    <row r="138" spans="4:31" ht="20.100000000000001" customHeight="1" x14ac:dyDescent="0.25">
      <c r="D138" s="187" t="str" cm="1">
        <f t="array" ref="D138">Common_InputFunctions.Utility_DisplayArrayInTable(Fertiliser_SourceData.Fertiliser_Products_Data1(),FertiliserProducts[[#Headers],[Include or Exclude]], -1)</f>
        <v/>
      </c>
      <c r="E138" s="187" t="str" cm="1">
        <f t="array" ref="E138">Common_InputFunctions.Utility_DisplayArrayInTable(Fertiliser_SourceData.Fertiliser_Products_Data1(),FertiliserProducts[[#Headers],[Include or Exclude]], 0)</f>
        <v/>
      </c>
      <c r="F138" s="187" t="str" cm="1">
        <f t="array" ref="F138">Common_InputFunctions.Utility_DisplayArrayInTable(Fertiliser_SourceData.Fertiliser_Products_Data1(),FertiliserProducts[[#Headers],[Include or Exclude]], 0)</f>
        <v/>
      </c>
      <c r="G138" s="187" t="str" cm="1">
        <f t="array" ref="G138">Common_InputFunctions.Utility_DisplayArrayInTable(Fertiliser_SourceData.Fertiliser_Products_Data1(),FertiliserProducts[[#Headers],[Include or Exclude]], 0)</f>
        <v/>
      </c>
      <c r="H138" s="187" t="str" cm="1">
        <f t="array" ref="H138">Common_InputFunctions.Utility_DisplayArrayInTable(Fertiliser_SourceData.Fertiliser_Products_Data1(),FertiliserProducts[[#Headers],[Include or Exclude]], 0,4)</f>
        <v/>
      </c>
      <c r="I138" s="187" t="str" cm="1">
        <f t="array" ref="I138">Common_InputFunctions.Utility_DisplayArrayInTable(Fertiliser_SourceData.Fertiliser_Products_Data1(),FertiliserProducts[[#Headers],[Include or Exclude]], 0,4)</f>
        <v/>
      </c>
      <c r="J138" s="187" t="str" cm="1">
        <f t="array" ref="J138">Common_InputFunctions.Utility_DisplayArrayInTable(Fertiliser_SourceData.Fertiliser_Products_Data1(),FertiliserProducts[[#Headers],[Include or Exclude]], 0,4)</f>
        <v/>
      </c>
      <c r="K138" s="187" t="str" cm="1">
        <f t="array" ref="K138">Common_InputFunctions.Utility_DisplayArrayInTable(Fertiliser_SourceData.Fertiliser_Products_Data1(),FertiliserProducts[[#Headers],[Include or Exclude]], 0,4)</f>
        <v/>
      </c>
      <c r="L138" s="187" t="str" cm="1">
        <f t="array" ref="L138">Common_InputFunctions.Utility_DisplayArrayInTable(Fertiliser_SourceData.Fertiliser_Products_Data1(),FertiliserProducts[[#Headers],[Include or Exclude]], 0,4)</f>
        <v/>
      </c>
      <c r="M138" s="187" t="str" cm="1">
        <f t="array" ref="M138">Common_InputFunctions.Utility_DisplayArrayInTable(Fertiliser_SourceData.Fertiliser_Products_Data1(),FertiliserProducts[[#Headers],[Include or Exclude]], 0,4)</f>
        <v/>
      </c>
      <c r="N138" s="187" t="str" cm="1">
        <f t="array" ref="N138">Common_InputFunctions.Utility_DisplayArrayInTable(Fertiliser_SourceData.Fertiliser_Products_Data1(),FertiliserProducts[[#Headers],[Include or Exclude]], 0,4)</f>
        <v/>
      </c>
      <c r="O138" s="187" t="str" cm="1">
        <f t="array" ref="O138">Common_InputFunctions.Utility_DisplayArrayInTable(Fertiliser_SourceData.Fertiliser_Products_Data1(),FertiliserProducts[[#Headers],[Include or Exclude]], 0,4)</f>
        <v/>
      </c>
      <c r="P138" s="187" t="str" cm="1">
        <f t="array" ref="P138">Common_InputFunctions.Utility_DisplayArrayInTable(Fertiliser_SourceData.Fertiliser_Products_Data1(),FertiliserProducts[[#Headers],[Include or Exclude]], 0,4)</f>
        <v/>
      </c>
      <c r="Q138" s="187" t="str" cm="1">
        <f t="array" ref="Q138">Common_InputFunctions.Utility_DisplayArrayInTable(Fertiliser_SourceData.Fertiliser_Products_Data1(),FertiliserProducts[[#Headers],[Include or Exclude]], 0,4)</f>
        <v/>
      </c>
      <c r="R138" s="187" t="str" cm="1">
        <f t="array" ref="R138">Common_InputFunctions.Utility_DisplayArrayInTable(Fertiliser_SourceData.Fertiliser_Products_Data1(),FertiliserProducts[[#Headers],[Include or Exclude]], 0,4)</f>
        <v/>
      </c>
      <c r="S138" s="187" t="str" cm="1">
        <f t="array" ref="S138">Common_InputFunctions.Utility_DisplayArrayInTable(Fertiliser_SourceData.Fertiliser_Products_Data1(),FertiliserProducts[[#Headers],[Include or Exclude]], 0,4)</f>
        <v/>
      </c>
      <c r="T138" s="187" t="str" cm="1">
        <f t="array" ref="T138">Common_InputFunctions.Utility_DisplayArrayInTable(Fertiliser_SourceData.Fertiliser_Products_Data1(),FertiliserProducts[[#Headers],[Include or Exclude]], 0,4)</f>
        <v/>
      </c>
      <c r="U138" s="187" t="str" cm="1">
        <f t="array" ref="U138">Common_InputFunctions.Utility_DisplayArrayInTable(Fertiliser_SourceData.Fertiliser_Products_Data1(),FertiliserProducts[[#Headers],[Include or Exclude]], 0,4)</f>
        <v/>
      </c>
      <c r="V138" s="187" t="str" cm="1">
        <f t="array" ref="V138">Common_InputFunctions.Utility_DisplayArrayInTable(Fertiliser_SourceData.Fertiliser_Products_Data1(),FertiliserProducts[[#Headers],[Include or Exclude]], 0,4)</f>
        <v/>
      </c>
      <c r="W138" s="187" t="str" cm="1">
        <f t="array" ref="W138">Common_InputFunctions.Utility_DisplayArrayInTable(Fertiliser_SourceData.Fertiliser_Products_Data1(),FertiliserProducts[[#Headers],[Include or Exclude]], 0,4)</f>
        <v/>
      </c>
      <c r="X138" s="187" t="str" cm="1">
        <f t="array" ref="X138">Common_InputFunctions.Utility_DisplayArrayInTable(Fertiliser_SourceData.Fertiliser_Products_Data1(),FertiliserProducts[[#Headers],[Include or Exclude]], 0,4)</f>
        <v/>
      </c>
      <c r="Y138" s="187" t="str" cm="1">
        <f t="array" ref="Y138">Common_InputFunctions.Utility_DisplayArrayInTable(Fertiliser_SourceData.Fertiliser_Products_Data1(),FertiliserProducts[[#Headers],[Include or Exclude]], 0,4)</f>
        <v/>
      </c>
      <c r="Z138" s="187" t="str" cm="1">
        <f t="array" ref="Z138">Common_InputFunctions.Utility_DisplayArrayInTable(Fertiliser_SourceData.Fertiliser_Products_Data1(),FertiliserProducts[[#Headers],[Include or Exclude]], 0,4)</f>
        <v/>
      </c>
      <c r="AA138" s="187" t="str" cm="1">
        <f t="array" ref="AA138">Common_InputFunctions.Utility_DisplayArrayInTable(Fertiliser_SourceData.Fertiliser_Products_Data1(),FertiliserProducts[[#Headers],[Include or Exclude]], 0,4)</f>
        <v/>
      </c>
      <c r="AB138" s="187" t="str" cm="1">
        <f t="array" ref="AB138">Common_InputFunctions.Utility_DisplayArrayInTable(Fertiliser_SourceData.Fertiliser_Products_Data1(),FertiliserProducts[[#Headers],[Include or Exclude]], 0,4)</f>
        <v/>
      </c>
      <c r="AC138" s="187" t="str" cm="1">
        <f t="array" ref="AC138">Common_InputFunctions.Utility_DisplayArrayInTable(Fertiliser_SourceData.Fertiliser_Products_Data1(),FertiliserProducts[[#Headers],[Include or Exclude]], 0,4)</f>
        <v/>
      </c>
      <c r="AD138" s="187" t="str" cm="1">
        <f t="array" ref="AD138">Common_InputFunctions.Utility_DisplayArrayInTable(Fertiliser_SourceData.Fertiliser_Products_Data1(),FertiliserProducts[[#Headers],[Include or Exclude]], 0,4)</f>
        <v/>
      </c>
      <c r="AE138" s="187" t="str" cm="1">
        <f t="array" ref="AE138">Common_InputFunctions.Utility_DisplayArrayInTable(Fertiliser_SourceData.Fertiliser_Products_Data1(),FertiliserProducts[[#Headers],[Include or Exclude]], 0,4)</f>
        <v/>
      </c>
    </row>
    <row r="139" spans="4:31" ht="20.100000000000001" customHeight="1" x14ac:dyDescent="0.25">
      <c r="D139" s="187" t="str" cm="1">
        <f t="array" ref="D139">Common_InputFunctions.Utility_DisplayArrayInTable(Fertiliser_SourceData.Fertiliser_Products_Data1(),FertiliserProducts[[#Headers],[Include or Exclude]], -1)</f>
        <v/>
      </c>
      <c r="E139" s="187" t="str" cm="1">
        <f t="array" ref="E139">Common_InputFunctions.Utility_DisplayArrayInTable(Fertiliser_SourceData.Fertiliser_Products_Data1(),FertiliserProducts[[#Headers],[Include or Exclude]], 0)</f>
        <v/>
      </c>
      <c r="F139" s="187" t="str" cm="1">
        <f t="array" ref="F139">Common_InputFunctions.Utility_DisplayArrayInTable(Fertiliser_SourceData.Fertiliser_Products_Data1(),FertiliserProducts[[#Headers],[Include or Exclude]], 0)</f>
        <v/>
      </c>
      <c r="G139" s="187" t="str" cm="1">
        <f t="array" ref="G139">Common_InputFunctions.Utility_DisplayArrayInTable(Fertiliser_SourceData.Fertiliser_Products_Data1(),FertiliserProducts[[#Headers],[Include or Exclude]], 0)</f>
        <v/>
      </c>
      <c r="H139" s="187" t="str" cm="1">
        <f t="array" ref="H139">Common_InputFunctions.Utility_DisplayArrayInTable(Fertiliser_SourceData.Fertiliser_Products_Data1(),FertiliserProducts[[#Headers],[Include or Exclude]], 0,4)</f>
        <v/>
      </c>
      <c r="I139" s="187" t="str" cm="1">
        <f t="array" ref="I139">Common_InputFunctions.Utility_DisplayArrayInTable(Fertiliser_SourceData.Fertiliser_Products_Data1(),FertiliserProducts[[#Headers],[Include or Exclude]], 0,4)</f>
        <v/>
      </c>
      <c r="J139" s="187" t="str" cm="1">
        <f t="array" ref="J139">Common_InputFunctions.Utility_DisplayArrayInTable(Fertiliser_SourceData.Fertiliser_Products_Data1(),FertiliserProducts[[#Headers],[Include or Exclude]], 0,4)</f>
        <v/>
      </c>
      <c r="K139" s="187" t="str" cm="1">
        <f t="array" ref="K139">Common_InputFunctions.Utility_DisplayArrayInTable(Fertiliser_SourceData.Fertiliser_Products_Data1(),FertiliserProducts[[#Headers],[Include or Exclude]], 0,4)</f>
        <v/>
      </c>
      <c r="L139" s="187" t="str" cm="1">
        <f t="array" ref="L139">Common_InputFunctions.Utility_DisplayArrayInTable(Fertiliser_SourceData.Fertiliser_Products_Data1(),FertiliserProducts[[#Headers],[Include or Exclude]], 0,4)</f>
        <v/>
      </c>
      <c r="M139" s="187" t="str" cm="1">
        <f t="array" ref="M139">Common_InputFunctions.Utility_DisplayArrayInTable(Fertiliser_SourceData.Fertiliser_Products_Data1(),FertiliserProducts[[#Headers],[Include or Exclude]], 0,4)</f>
        <v/>
      </c>
      <c r="N139" s="187" t="str" cm="1">
        <f t="array" ref="N139">Common_InputFunctions.Utility_DisplayArrayInTable(Fertiliser_SourceData.Fertiliser_Products_Data1(),FertiliserProducts[[#Headers],[Include or Exclude]], 0,4)</f>
        <v/>
      </c>
      <c r="O139" s="187" t="str" cm="1">
        <f t="array" ref="O139">Common_InputFunctions.Utility_DisplayArrayInTable(Fertiliser_SourceData.Fertiliser_Products_Data1(),FertiliserProducts[[#Headers],[Include or Exclude]], 0,4)</f>
        <v/>
      </c>
      <c r="P139" s="187" t="str" cm="1">
        <f t="array" ref="P139">Common_InputFunctions.Utility_DisplayArrayInTable(Fertiliser_SourceData.Fertiliser_Products_Data1(),FertiliserProducts[[#Headers],[Include or Exclude]], 0,4)</f>
        <v/>
      </c>
      <c r="Q139" s="187" t="str" cm="1">
        <f t="array" ref="Q139">Common_InputFunctions.Utility_DisplayArrayInTable(Fertiliser_SourceData.Fertiliser_Products_Data1(),FertiliserProducts[[#Headers],[Include or Exclude]], 0,4)</f>
        <v/>
      </c>
      <c r="R139" s="187" t="str" cm="1">
        <f t="array" ref="R139">Common_InputFunctions.Utility_DisplayArrayInTable(Fertiliser_SourceData.Fertiliser_Products_Data1(),FertiliserProducts[[#Headers],[Include or Exclude]], 0,4)</f>
        <v/>
      </c>
      <c r="S139" s="187" t="str" cm="1">
        <f t="array" ref="S139">Common_InputFunctions.Utility_DisplayArrayInTable(Fertiliser_SourceData.Fertiliser_Products_Data1(),FertiliserProducts[[#Headers],[Include or Exclude]], 0,4)</f>
        <v/>
      </c>
      <c r="T139" s="187" t="str" cm="1">
        <f t="array" ref="T139">Common_InputFunctions.Utility_DisplayArrayInTable(Fertiliser_SourceData.Fertiliser_Products_Data1(),FertiliserProducts[[#Headers],[Include or Exclude]], 0,4)</f>
        <v/>
      </c>
      <c r="U139" s="187" t="str" cm="1">
        <f t="array" ref="U139">Common_InputFunctions.Utility_DisplayArrayInTable(Fertiliser_SourceData.Fertiliser_Products_Data1(),FertiliserProducts[[#Headers],[Include or Exclude]], 0,4)</f>
        <v/>
      </c>
      <c r="V139" s="187" t="str" cm="1">
        <f t="array" ref="V139">Common_InputFunctions.Utility_DisplayArrayInTable(Fertiliser_SourceData.Fertiliser_Products_Data1(),FertiliserProducts[[#Headers],[Include or Exclude]], 0,4)</f>
        <v/>
      </c>
      <c r="W139" s="187" t="str" cm="1">
        <f t="array" ref="W139">Common_InputFunctions.Utility_DisplayArrayInTable(Fertiliser_SourceData.Fertiliser_Products_Data1(),FertiliserProducts[[#Headers],[Include or Exclude]], 0,4)</f>
        <v/>
      </c>
      <c r="X139" s="187" t="str" cm="1">
        <f t="array" ref="X139">Common_InputFunctions.Utility_DisplayArrayInTable(Fertiliser_SourceData.Fertiliser_Products_Data1(),FertiliserProducts[[#Headers],[Include or Exclude]], 0,4)</f>
        <v/>
      </c>
      <c r="Y139" s="187" t="str" cm="1">
        <f t="array" ref="Y139">Common_InputFunctions.Utility_DisplayArrayInTable(Fertiliser_SourceData.Fertiliser_Products_Data1(),FertiliserProducts[[#Headers],[Include or Exclude]], 0,4)</f>
        <v/>
      </c>
      <c r="Z139" s="187" t="str" cm="1">
        <f t="array" ref="Z139">Common_InputFunctions.Utility_DisplayArrayInTable(Fertiliser_SourceData.Fertiliser_Products_Data1(),FertiliserProducts[[#Headers],[Include or Exclude]], 0,4)</f>
        <v/>
      </c>
      <c r="AA139" s="187" t="str" cm="1">
        <f t="array" ref="AA139">Common_InputFunctions.Utility_DisplayArrayInTable(Fertiliser_SourceData.Fertiliser_Products_Data1(),FertiliserProducts[[#Headers],[Include or Exclude]], 0,4)</f>
        <v/>
      </c>
      <c r="AB139" s="187" t="str" cm="1">
        <f t="array" ref="AB139">Common_InputFunctions.Utility_DisplayArrayInTable(Fertiliser_SourceData.Fertiliser_Products_Data1(),FertiliserProducts[[#Headers],[Include or Exclude]], 0,4)</f>
        <v/>
      </c>
      <c r="AC139" s="187" t="str" cm="1">
        <f t="array" ref="AC139">Common_InputFunctions.Utility_DisplayArrayInTable(Fertiliser_SourceData.Fertiliser_Products_Data1(),FertiliserProducts[[#Headers],[Include or Exclude]], 0,4)</f>
        <v/>
      </c>
      <c r="AD139" s="187" t="str" cm="1">
        <f t="array" ref="AD139">Common_InputFunctions.Utility_DisplayArrayInTable(Fertiliser_SourceData.Fertiliser_Products_Data1(),FertiliserProducts[[#Headers],[Include or Exclude]], 0,4)</f>
        <v/>
      </c>
      <c r="AE139" s="187" t="str" cm="1">
        <f t="array" ref="AE139">Common_InputFunctions.Utility_DisplayArrayInTable(Fertiliser_SourceData.Fertiliser_Products_Data1(),FertiliserProducts[[#Headers],[Include or Exclude]], 0,4)</f>
        <v/>
      </c>
    </row>
    <row r="140" spans="4:31" ht="20.100000000000001" customHeight="1" x14ac:dyDescent="0.25">
      <c r="D140" s="187" t="str" cm="1">
        <f t="array" ref="D140">Common_InputFunctions.Utility_DisplayArrayInTable(Fertiliser_SourceData.Fertiliser_Products_Data1(),FertiliserProducts[[#Headers],[Include or Exclude]], -1)</f>
        <v/>
      </c>
      <c r="E140" s="187" t="str" cm="1">
        <f t="array" ref="E140">Common_InputFunctions.Utility_DisplayArrayInTable(Fertiliser_SourceData.Fertiliser_Products_Data1(),FertiliserProducts[[#Headers],[Include or Exclude]], 0)</f>
        <v/>
      </c>
      <c r="F140" s="187" t="str" cm="1">
        <f t="array" ref="F140">Common_InputFunctions.Utility_DisplayArrayInTable(Fertiliser_SourceData.Fertiliser_Products_Data1(),FertiliserProducts[[#Headers],[Include or Exclude]], 0)</f>
        <v/>
      </c>
      <c r="G140" s="187" t="str" cm="1">
        <f t="array" ref="G140">Common_InputFunctions.Utility_DisplayArrayInTable(Fertiliser_SourceData.Fertiliser_Products_Data1(),FertiliserProducts[[#Headers],[Include or Exclude]], 0)</f>
        <v/>
      </c>
      <c r="H140" s="187" t="str" cm="1">
        <f t="array" ref="H140">Common_InputFunctions.Utility_DisplayArrayInTable(Fertiliser_SourceData.Fertiliser_Products_Data1(),FertiliserProducts[[#Headers],[Include or Exclude]], 0,4)</f>
        <v/>
      </c>
      <c r="I140" s="187" t="str" cm="1">
        <f t="array" ref="I140">Common_InputFunctions.Utility_DisplayArrayInTable(Fertiliser_SourceData.Fertiliser_Products_Data1(),FertiliserProducts[[#Headers],[Include or Exclude]], 0,4)</f>
        <v/>
      </c>
      <c r="J140" s="187" t="str" cm="1">
        <f t="array" ref="J140">Common_InputFunctions.Utility_DisplayArrayInTable(Fertiliser_SourceData.Fertiliser_Products_Data1(),FertiliserProducts[[#Headers],[Include or Exclude]], 0,4)</f>
        <v/>
      </c>
      <c r="K140" s="187" t="str" cm="1">
        <f t="array" ref="K140">Common_InputFunctions.Utility_DisplayArrayInTable(Fertiliser_SourceData.Fertiliser_Products_Data1(),FertiliserProducts[[#Headers],[Include or Exclude]], 0,4)</f>
        <v/>
      </c>
      <c r="L140" s="187" t="str" cm="1">
        <f t="array" ref="L140">Common_InputFunctions.Utility_DisplayArrayInTable(Fertiliser_SourceData.Fertiliser_Products_Data1(),FertiliserProducts[[#Headers],[Include or Exclude]], 0,4)</f>
        <v/>
      </c>
      <c r="M140" s="187" t="str" cm="1">
        <f t="array" ref="M140">Common_InputFunctions.Utility_DisplayArrayInTable(Fertiliser_SourceData.Fertiliser_Products_Data1(),FertiliserProducts[[#Headers],[Include or Exclude]], 0,4)</f>
        <v/>
      </c>
      <c r="N140" s="187" t="str" cm="1">
        <f t="array" ref="N140">Common_InputFunctions.Utility_DisplayArrayInTable(Fertiliser_SourceData.Fertiliser_Products_Data1(),FertiliserProducts[[#Headers],[Include or Exclude]], 0,4)</f>
        <v/>
      </c>
      <c r="O140" s="187" t="str" cm="1">
        <f t="array" ref="O140">Common_InputFunctions.Utility_DisplayArrayInTable(Fertiliser_SourceData.Fertiliser_Products_Data1(),FertiliserProducts[[#Headers],[Include or Exclude]], 0,4)</f>
        <v/>
      </c>
      <c r="P140" s="187" t="str" cm="1">
        <f t="array" ref="P140">Common_InputFunctions.Utility_DisplayArrayInTable(Fertiliser_SourceData.Fertiliser_Products_Data1(),FertiliserProducts[[#Headers],[Include or Exclude]], 0,4)</f>
        <v/>
      </c>
      <c r="Q140" s="187" t="str" cm="1">
        <f t="array" ref="Q140">Common_InputFunctions.Utility_DisplayArrayInTable(Fertiliser_SourceData.Fertiliser_Products_Data1(),FertiliserProducts[[#Headers],[Include or Exclude]], 0,4)</f>
        <v/>
      </c>
      <c r="R140" s="187" t="str" cm="1">
        <f t="array" ref="R140">Common_InputFunctions.Utility_DisplayArrayInTable(Fertiliser_SourceData.Fertiliser_Products_Data1(),FertiliserProducts[[#Headers],[Include or Exclude]], 0,4)</f>
        <v/>
      </c>
      <c r="S140" s="187" t="str" cm="1">
        <f t="array" ref="S140">Common_InputFunctions.Utility_DisplayArrayInTable(Fertiliser_SourceData.Fertiliser_Products_Data1(),FertiliserProducts[[#Headers],[Include or Exclude]], 0,4)</f>
        <v/>
      </c>
      <c r="T140" s="187" t="str" cm="1">
        <f t="array" ref="T140">Common_InputFunctions.Utility_DisplayArrayInTable(Fertiliser_SourceData.Fertiliser_Products_Data1(),FertiliserProducts[[#Headers],[Include or Exclude]], 0,4)</f>
        <v/>
      </c>
      <c r="U140" s="187" t="str" cm="1">
        <f t="array" ref="U140">Common_InputFunctions.Utility_DisplayArrayInTable(Fertiliser_SourceData.Fertiliser_Products_Data1(),FertiliserProducts[[#Headers],[Include or Exclude]], 0,4)</f>
        <v/>
      </c>
      <c r="V140" s="187" t="str" cm="1">
        <f t="array" ref="V140">Common_InputFunctions.Utility_DisplayArrayInTable(Fertiliser_SourceData.Fertiliser_Products_Data1(),FertiliserProducts[[#Headers],[Include or Exclude]], 0,4)</f>
        <v/>
      </c>
      <c r="W140" s="187" t="str" cm="1">
        <f t="array" ref="W140">Common_InputFunctions.Utility_DisplayArrayInTable(Fertiliser_SourceData.Fertiliser_Products_Data1(),FertiliserProducts[[#Headers],[Include or Exclude]], 0,4)</f>
        <v/>
      </c>
      <c r="X140" s="187" t="str" cm="1">
        <f t="array" ref="X140">Common_InputFunctions.Utility_DisplayArrayInTable(Fertiliser_SourceData.Fertiliser_Products_Data1(),FertiliserProducts[[#Headers],[Include or Exclude]], 0,4)</f>
        <v/>
      </c>
      <c r="Y140" s="187" t="str" cm="1">
        <f t="array" ref="Y140">Common_InputFunctions.Utility_DisplayArrayInTable(Fertiliser_SourceData.Fertiliser_Products_Data1(),FertiliserProducts[[#Headers],[Include or Exclude]], 0,4)</f>
        <v/>
      </c>
      <c r="Z140" s="187" t="str" cm="1">
        <f t="array" ref="Z140">Common_InputFunctions.Utility_DisplayArrayInTable(Fertiliser_SourceData.Fertiliser_Products_Data1(),FertiliserProducts[[#Headers],[Include or Exclude]], 0,4)</f>
        <v/>
      </c>
      <c r="AA140" s="187" t="str" cm="1">
        <f t="array" ref="AA140">Common_InputFunctions.Utility_DisplayArrayInTable(Fertiliser_SourceData.Fertiliser_Products_Data1(),FertiliserProducts[[#Headers],[Include or Exclude]], 0,4)</f>
        <v/>
      </c>
      <c r="AB140" s="187" t="str" cm="1">
        <f t="array" ref="AB140">Common_InputFunctions.Utility_DisplayArrayInTable(Fertiliser_SourceData.Fertiliser_Products_Data1(),FertiliserProducts[[#Headers],[Include or Exclude]], 0,4)</f>
        <v/>
      </c>
      <c r="AC140" s="187" t="str" cm="1">
        <f t="array" ref="AC140">Common_InputFunctions.Utility_DisplayArrayInTable(Fertiliser_SourceData.Fertiliser_Products_Data1(),FertiliserProducts[[#Headers],[Include or Exclude]], 0,4)</f>
        <v/>
      </c>
      <c r="AD140" s="187" t="str" cm="1">
        <f t="array" ref="AD140">Common_InputFunctions.Utility_DisplayArrayInTable(Fertiliser_SourceData.Fertiliser_Products_Data1(),FertiliserProducts[[#Headers],[Include or Exclude]], 0,4)</f>
        <v/>
      </c>
      <c r="AE140" s="187" t="str" cm="1">
        <f t="array" ref="AE140">Common_InputFunctions.Utility_DisplayArrayInTable(Fertiliser_SourceData.Fertiliser_Products_Data1(),FertiliserProducts[[#Headers],[Include or Exclude]], 0,4)</f>
        <v/>
      </c>
    </row>
    <row r="141" spans="4:31" ht="20.100000000000001" customHeight="1" x14ac:dyDescent="0.25">
      <c r="D141" s="187" t="str" cm="1">
        <f t="array" ref="D141">Common_InputFunctions.Utility_DisplayArrayInTable(Fertiliser_SourceData.Fertiliser_Products_Data1(),FertiliserProducts[[#Headers],[Include or Exclude]], -1)</f>
        <v/>
      </c>
      <c r="E141" s="187" t="str" cm="1">
        <f t="array" ref="E141">Common_InputFunctions.Utility_DisplayArrayInTable(Fertiliser_SourceData.Fertiliser_Products_Data1(),FertiliserProducts[[#Headers],[Include or Exclude]], 0)</f>
        <v/>
      </c>
      <c r="F141" s="187" t="str" cm="1">
        <f t="array" ref="F141">Common_InputFunctions.Utility_DisplayArrayInTable(Fertiliser_SourceData.Fertiliser_Products_Data1(),FertiliserProducts[[#Headers],[Include or Exclude]], 0)</f>
        <v/>
      </c>
      <c r="G141" s="187" t="str" cm="1">
        <f t="array" ref="G141">Common_InputFunctions.Utility_DisplayArrayInTable(Fertiliser_SourceData.Fertiliser_Products_Data1(),FertiliserProducts[[#Headers],[Include or Exclude]], 0)</f>
        <v/>
      </c>
      <c r="H141" s="187" t="str" cm="1">
        <f t="array" ref="H141">Common_InputFunctions.Utility_DisplayArrayInTable(Fertiliser_SourceData.Fertiliser_Products_Data1(),FertiliserProducts[[#Headers],[Include or Exclude]], 0,4)</f>
        <v/>
      </c>
      <c r="I141" s="187" t="str" cm="1">
        <f t="array" ref="I141">Common_InputFunctions.Utility_DisplayArrayInTable(Fertiliser_SourceData.Fertiliser_Products_Data1(),FertiliserProducts[[#Headers],[Include or Exclude]], 0,4)</f>
        <v/>
      </c>
      <c r="J141" s="187" t="str" cm="1">
        <f t="array" ref="J141">Common_InputFunctions.Utility_DisplayArrayInTable(Fertiliser_SourceData.Fertiliser_Products_Data1(),FertiliserProducts[[#Headers],[Include or Exclude]], 0,4)</f>
        <v/>
      </c>
      <c r="K141" s="187" t="str" cm="1">
        <f t="array" ref="K141">Common_InputFunctions.Utility_DisplayArrayInTable(Fertiliser_SourceData.Fertiliser_Products_Data1(),FertiliserProducts[[#Headers],[Include or Exclude]], 0,4)</f>
        <v/>
      </c>
      <c r="L141" s="187" t="str" cm="1">
        <f t="array" ref="L141">Common_InputFunctions.Utility_DisplayArrayInTable(Fertiliser_SourceData.Fertiliser_Products_Data1(),FertiliserProducts[[#Headers],[Include or Exclude]], 0,4)</f>
        <v/>
      </c>
      <c r="M141" s="187" t="str" cm="1">
        <f t="array" ref="M141">Common_InputFunctions.Utility_DisplayArrayInTable(Fertiliser_SourceData.Fertiliser_Products_Data1(),FertiliserProducts[[#Headers],[Include or Exclude]], 0,4)</f>
        <v/>
      </c>
      <c r="N141" s="187" t="str" cm="1">
        <f t="array" ref="N141">Common_InputFunctions.Utility_DisplayArrayInTable(Fertiliser_SourceData.Fertiliser_Products_Data1(),FertiliserProducts[[#Headers],[Include or Exclude]], 0,4)</f>
        <v/>
      </c>
      <c r="O141" s="187" t="str" cm="1">
        <f t="array" ref="O141">Common_InputFunctions.Utility_DisplayArrayInTable(Fertiliser_SourceData.Fertiliser_Products_Data1(),FertiliserProducts[[#Headers],[Include or Exclude]], 0,4)</f>
        <v/>
      </c>
      <c r="P141" s="187" t="str" cm="1">
        <f t="array" ref="P141">Common_InputFunctions.Utility_DisplayArrayInTable(Fertiliser_SourceData.Fertiliser_Products_Data1(),FertiliserProducts[[#Headers],[Include or Exclude]], 0,4)</f>
        <v/>
      </c>
      <c r="Q141" s="187" t="str" cm="1">
        <f t="array" ref="Q141">Common_InputFunctions.Utility_DisplayArrayInTable(Fertiliser_SourceData.Fertiliser_Products_Data1(),FertiliserProducts[[#Headers],[Include or Exclude]], 0,4)</f>
        <v/>
      </c>
      <c r="R141" s="187" t="str" cm="1">
        <f t="array" ref="R141">Common_InputFunctions.Utility_DisplayArrayInTable(Fertiliser_SourceData.Fertiliser_Products_Data1(),FertiliserProducts[[#Headers],[Include or Exclude]], 0,4)</f>
        <v/>
      </c>
      <c r="S141" s="187" t="str" cm="1">
        <f t="array" ref="S141">Common_InputFunctions.Utility_DisplayArrayInTable(Fertiliser_SourceData.Fertiliser_Products_Data1(),FertiliserProducts[[#Headers],[Include or Exclude]], 0,4)</f>
        <v/>
      </c>
      <c r="T141" s="187" t="str" cm="1">
        <f t="array" ref="T141">Common_InputFunctions.Utility_DisplayArrayInTable(Fertiliser_SourceData.Fertiliser_Products_Data1(),FertiliserProducts[[#Headers],[Include or Exclude]], 0,4)</f>
        <v/>
      </c>
      <c r="U141" s="187" t="str" cm="1">
        <f t="array" ref="U141">Common_InputFunctions.Utility_DisplayArrayInTable(Fertiliser_SourceData.Fertiliser_Products_Data1(),FertiliserProducts[[#Headers],[Include or Exclude]], 0,4)</f>
        <v/>
      </c>
      <c r="V141" s="187" t="str" cm="1">
        <f t="array" ref="V141">Common_InputFunctions.Utility_DisplayArrayInTable(Fertiliser_SourceData.Fertiliser_Products_Data1(),FertiliserProducts[[#Headers],[Include or Exclude]], 0,4)</f>
        <v/>
      </c>
      <c r="W141" s="187" t="str" cm="1">
        <f t="array" ref="W141">Common_InputFunctions.Utility_DisplayArrayInTable(Fertiliser_SourceData.Fertiliser_Products_Data1(),FertiliserProducts[[#Headers],[Include or Exclude]], 0,4)</f>
        <v/>
      </c>
      <c r="X141" s="187" t="str" cm="1">
        <f t="array" ref="X141">Common_InputFunctions.Utility_DisplayArrayInTable(Fertiliser_SourceData.Fertiliser_Products_Data1(),FertiliserProducts[[#Headers],[Include or Exclude]], 0,4)</f>
        <v/>
      </c>
      <c r="Y141" s="187" t="str" cm="1">
        <f t="array" ref="Y141">Common_InputFunctions.Utility_DisplayArrayInTable(Fertiliser_SourceData.Fertiliser_Products_Data1(),FertiliserProducts[[#Headers],[Include or Exclude]], 0,4)</f>
        <v/>
      </c>
      <c r="Z141" s="187" t="str" cm="1">
        <f t="array" ref="Z141">Common_InputFunctions.Utility_DisplayArrayInTable(Fertiliser_SourceData.Fertiliser_Products_Data1(),FertiliserProducts[[#Headers],[Include or Exclude]], 0,4)</f>
        <v/>
      </c>
      <c r="AA141" s="187" t="str" cm="1">
        <f t="array" ref="AA141">Common_InputFunctions.Utility_DisplayArrayInTable(Fertiliser_SourceData.Fertiliser_Products_Data1(),FertiliserProducts[[#Headers],[Include or Exclude]], 0,4)</f>
        <v/>
      </c>
      <c r="AB141" s="187" t="str" cm="1">
        <f t="array" ref="AB141">Common_InputFunctions.Utility_DisplayArrayInTable(Fertiliser_SourceData.Fertiliser_Products_Data1(),FertiliserProducts[[#Headers],[Include or Exclude]], 0,4)</f>
        <v/>
      </c>
      <c r="AC141" s="187" t="str" cm="1">
        <f t="array" ref="AC141">Common_InputFunctions.Utility_DisplayArrayInTable(Fertiliser_SourceData.Fertiliser_Products_Data1(),FertiliserProducts[[#Headers],[Include or Exclude]], 0,4)</f>
        <v/>
      </c>
      <c r="AD141" s="187" t="str" cm="1">
        <f t="array" ref="AD141">Common_InputFunctions.Utility_DisplayArrayInTable(Fertiliser_SourceData.Fertiliser_Products_Data1(),FertiliserProducts[[#Headers],[Include or Exclude]], 0,4)</f>
        <v/>
      </c>
      <c r="AE141" s="187" t="str" cm="1">
        <f t="array" ref="AE141">Common_InputFunctions.Utility_DisplayArrayInTable(Fertiliser_SourceData.Fertiliser_Products_Data1(),FertiliserProducts[[#Headers],[Include or Exclude]], 0,4)</f>
        <v/>
      </c>
    </row>
    <row r="142" spans="4:31" ht="20.100000000000001" customHeight="1" x14ac:dyDescent="0.25">
      <c r="D142" s="187" t="str" cm="1">
        <f t="array" ref="D142">Common_InputFunctions.Utility_DisplayArrayInTable(Fertiliser_SourceData.Fertiliser_Products_Data1(),FertiliserProducts[[#Headers],[Include or Exclude]], -1)</f>
        <v/>
      </c>
      <c r="E142" s="187" t="str" cm="1">
        <f t="array" ref="E142">Common_InputFunctions.Utility_DisplayArrayInTable(Fertiliser_SourceData.Fertiliser_Products_Data1(),FertiliserProducts[[#Headers],[Include or Exclude]], 0)</f>
        <v/>
      </c>
      <c r="F142" s="187" t="str" cm="1">
        <f t="array" ref="F142">Common_InputFunctions.Utility_DisplayArrayInTable(Fertiliser_SourceData.Fertiliser_Products_Data1(),FertiliserProducts[[#Headers],[Include or Exclude]], 0)</f>
        <v/>
      </c>
      <c r="G142" s="187" t="str" cm="1">
        <f t="array" ref="G142">Common_InputFunctions.Utility_DisplayArrayInTable(Fertiliser_SourceData.Fertiliser_Products_Data1(),FertiliserProducts[[#Headers],[Include or Exclude]], 0)</f>
        <v/>
      </c>
      <c r="H142" s="187" t="str" cm="1">
        <f t="array" ref="H142">Common_InputFunctions.Utility_DisplayArrayInTable(Fertiliser_SourceData.Fertiliser_Products_Data1(),FertiliserProducts[[#Headers],[Include or Exclude]], 0,4)</f>
        <v/>
      </c>
      <c r="I142" s="187" t="str" cm="1">
        <f t="array" ref="I142">Common_InputFunctions.Utility_DisplayArrayInTable(Fertiliser_SourceData.Fertiliser_Products_Data1(),FertiliserProducts[[#Headers],[Include or Exclude]], 0,4)</f>
        <v/>
      </c>
      <c r="J142" s="187" t="str" cm="1">
        <f t="array" ref="J142">Common_InputFunctions.Utility_DisplayArrayInTable(Fertiliser_SourceData.Fertiliser_Products_Data1(),FertiliserProducts[[#Headers],[Include or Exclude]], 0,4)</f>
        <v/>
      </c>
      <c r="K142" s="187" t="str" cm="1">
        <f t="array" ref="K142">Common_InputFunctions.Utility_DisplayArrayInTable(Fertiliser_SourceData.Fertiliser_Products_Data1(),FertiliserProducts[[#Headers],[Include or Exclude]], 0,4)</f>
        <v/>
      </c>
      <c r="L142" s="187" t="str" cm="1">
        <f t="array" ref="L142">Common_InputFunctions.Utility_DisplayArrayInTable(Fertiliser_SourceData.Fertiliser_Products_Data1(),FertiliserProducts[[#Headers],[Include or Exclude]], 0,4)</f>
        <v/>
      </c>
      <c r="M142" s="187" t="str" cm="1">
        <f t="array" ref="M142">Common_InputFunctions.Utility_DisplayArrayInTable(Fertiliser_SourceData.Fertiliser_Products_Data1(),FertiliserProducts[[#Headers],[Include or Exclude]], 0,4)</f>
        <v/>
      </c>
      <c r="N142" s="187" t="str" cm="1">
        <f t="array" ref="N142">Common_InputFunctions.Utility_DisplayArrayInTable(Fertiliser_SourceData.Fertiliser_Products_Data1(),FertiliserProducts[[#Headers],[Include or Exclude]], 0,4)</f>
        <v/>
      </c>
      <c r="O142" s="187" t="str" cm="1">
        <f t="array" ref="O142">Common_InputFunctions.Utility_DisplayArrayInTable(Fertiliser_SourceData.Fertiliser_Products_Data1(),FertiliserProducts[[#Headers],[Include or Exclude]], 0,4)</f>
        <v/>
      </c>
      <c r="P142" s="187" t="str" cm="1">
        <f t="array" ref="P142">Common_InputFunctions.Utility_DisplayArrayInTable(Fertiliser_SourceData.Fertiliser_Products_Data1(),FertiliserProducts[[#Headers],[Include or Exclude]], 0,4)</f>
        <v/>
      </c>
      <c r="Q142" s="187" t="str" cm="1">
        <f t="array" ref="Q142">Common_InputFunctions.Utility_DisplayArrayInTable(Fertiliser_SourceData.Fertiliser_Products_Data1(),FertiliserProducts[[#Headers],[Include or Exclude]], 0,4)</f>
        <v/>
      </c>
      <c r="R142" s="187" t="str" cm="1">
        <f t="array" ref="R142">Common_InputFunctions.Utility_DisplayArrayInTable(Fertiliser_SourceData.Fertiliser_Products_Data1(),FertiliserProducts[[#Headers],[Include or Exclude]], 0,4)</f>
        <v/>
      </c>
      <c r="S142" s="187" t="str" cm="1">
        <f t="array" ref="S142">Common_InputFunctions.Utility_DisplayArrayInTable(Fertiliser_SourceData.Fertiliser_Products_Data1(),FertiliserProducts[[#Headers],[Include or Exclude]], 0,4)</f>
        <v/>
      </c>
      <c r="T142" s="187" t="str" cm="1">
        <f t="array" ref="T142">Common_InputFunctions.Utility_DisplayArrayInTable(Fertiliser_SourceData.Fertiliser_Products_Data1(),FertiliserProducts[[#Headers],[Include or Exclude]], 0,4)</f>
        <v/>
      </c>
      <c r="U142" s="187" t="str" cm="1">
        <f t="array" ref="U142">Common_InputFunctions.Utility_DisplayArrayInTable(Fertiliser_SourceData.Fertiliser_Products_Data1(),FertiliserProducts[[#Headers],[Include or Exclude]], 0,4)</f>
        <v/>
      </c>
      <c r="V142" s="187" t="str" cm="1">
        <f t="array" ref="V142">Common_InputFunctions.Utility_DisplayArrayInTable(Fertiliser_SourceData.Fertiliser_Products_Data1(),FertiliserProducts[[#Headers],[Include or Exclude]], 0,4)</f>
        <v/>
      </c>
      <c r="W142" s="187" t="str" cm="1">
        <f t="array" ref="W142">Common_InputFunctions.Utility_DisplayArrayInTable(Fertiliser_SourceData.Fertiliser_Products_Data1(),FertiliserProducts[[#Headers],[Include or Exclude]], 0,4)</f>
        <v/>
      </c>
      <c r="X142" s="187" t="str" cm="1">
        <f t="array" ref="X142">Common_InputFunctions.Utility_DisplayArrayInTable(Fertiliser_SourceData.Fertiliser_Products_Data1(),FertiliserProducts[[#Headers],[Include or Exclude]], 0,4)</f>
        <v/>
      </c>
      <c r="Y142" s="187" t="str" cm="1">
        <f t="array" ref="Y142">Common_InputFunctions.Utility_DisplayArrayInTable(Fertiliser_SourceData.Fertiliser_Products_Data1(),FertiliserProducts[[#Headers],[Include or Exclude]], 0,4)</f>
        <v/>
      </c>
      <c r="Z142" s="187" t="str" cm="1">
        <f t="array" ref="Z142">Common_InputFunctions.Utility_DisplayArrayInTable(Fertiliser_SourceData.Fertiliser_Products_Data1(),FertiliserProducts[[#Headers],[Include or Exclude]], 0,4)</f>
        <v/>
      </c>
      <c r="AA142" s="187" t="str" cm="1">
        <f t="array" ref="AA142">Common_InputFunctions.Utility_DisplayArrayInTable(Fertiliser_SourceData.Fertiliser_Products_Data1(),FertiliserProducts[[#Headers],[Include or Exclude]], 0,4)</f>
        <v/>
      </c>
      <c r="AB142" s="187" t="str" cm="1">
        <f t="array" ref="AB142">Common_InputFunctions.Utility_DisplayArrayInTable(Fertiliser_SourceData.Fertiliser_Products_Data1(),FertiliserProducts[[#Headers],[Include or Exclude]], 0,4)</f>
        <v/>
      </c>
      <c r="AC142" s="187" t="str" cm="1">
        <f t="array" ref="AC142">Common_InputFunctions.Utility_DisplayArrayInTable(Fertiliser_SourceData.Fertiliser_Products_Data1(),FertiliserProducts[[#Headers],[Include or Exclude]], 0,4)</f>
        <v/>
      </c>
      <c r="AD142" s="187" t="str" cm="1">
        <f t="array" ref="AD142">Common_InputFunctions.Utility_DisplayArrayInTable(Fertiliser_SourceData.Fertiliser_Products_Data1(),FertiliserProducts[[#Headers],[Include or Exclude]], 0,4)</f>
        <v/>
      </c>
      <c r="AE142" s="187" t="str" cm="1">
        <f t="array" ref="AE142">Common_InputFunctions.Utility_DisplayArrayInTable(Fertiliser_SourceData.Fertiliser_Products_Data1(),FertiliserProducts[[#Headers],[Include or Exclude]], 0,4)</f>
        <v/>
      </c>
    </row>
    <row r="143" spans="4:31" ht="20.100000000000001" customHeight="1" x14ac:dyDescent="0.25">
      <c r="D143" s="187" t="str" cm="1">
        <f t="array" ref="D143">Common_InputFunctions.Utility_DisplayArrayInTable(Fertiliser_SourceData.Fertiliser_Products_Data1(),FertiliserProducts[[#Headers],[Include or Exclude]], -1)</f>
        <v/>
      </c>
      <c r="E143" s="187" t="str" cm="1">
        <f t="array" ref="E143">Common_InputFunctions.Utility_DisplayArrayInTable(Fertiliser_SourceData.Fertiliser_Products_Data1(),FertiliserProducts[[#Headers],[Include or Exclude]], 0)</f>
        <v/>
      </c>
      <c r="F143" s="187" t="str" cm="1">
        <f t="array" ref="F143">Common_InputFunctions.Utility_DisplayArrayInTable(Fertiliser_SourceData.Fertiliser_Products_Data1(),FertiliserProducts[[#Headers],[Include or Exclude]], 0)</f>
        <v/>
      </c>
      <c r="G143" s="187" t="str" cm="1">
        <f t="array" ref="G143">Common_InputFunctions.Utility_DisplayArrayInTable(Fertiliser_SourceData.Fertiliser_Products_Data1(),FertiliserProducts[[#Headers],[Include or Exclude]], 0)</f>
        <v/>
      </c>
      <c r="H143" s="187" t="str" cm="1">
        <f t="array" ref="H143">Common_InputFunctions.Utility_DisplayArrayInTable(Fertiliser_SourceData.Fertiliser_Products_Data1(),FertiliserProducts[[#Headers],[Include or Exclude]], 0,4)</f>
        <v/>
      </c>
      <c r="I143" s="187" t="str" cm="1">
        <f t="array" ref="I143">Common_InputFunctions.Utility_DisplayArrayInTable(Fertiliser_SourceData.Fertiliser_Products_Data1(),FertiliserProducts[[#Headers],[Include or Exclude]], 0,4)</f>
        <v/>
      </c>
      <c r="J143" s="187" t="str" cm="1">
        <f t="array" ref="J143">Common_InputFunctions.Utility_DisplayArrayInTable(Fertiliser_SourceData.Fertiliser_Products_Data1(),FertiliserProducts[[#Headers],[Include or Exclude]], 0,4)</f>
        <v/>
      </c>
      <c r="K143" s="187" t="str" cm="1">
        <f t="array" ref="K143">Common_InputFunctions.Utility_DisplayArrayInTable(Fertiliser_SourceData.Fertiliser_Products_Data1(),FertiliserProducts[[#Headers],[Include or Exclude]], 0,4)</f>
        <v/>
      </c>
      <c r="L143" s="187" t="str" cm="1">
        <f t="array" ref="L143">Common_InputFunctions.Utility_DisplayArrayInTable(Fertiliser_SourceData.Fertiliser_Products_Data1(),FertiliserProducts[[#Headers],[Include or Exclude]], 0,4)</f>
        <v/>
      </c>
      <c r="M143" s="187" t="str" cm="1">
        <f t="array" ref="M143">Common_InputFunctions.Utility_DisplayArrayInTable(Fertiliser_SourceData.Fertiliser_Products_Data1(),FertiliserProducts[[#Headers],[Include or Exclude]], 0,4)</f>
        <v/>
      </c>
      <c r="N143" s="187" t="str" cm="1">
        <f t="array" ref="N143">Common_InputFunctions.Utility_DisplayArrayInTable(Fertiliser_SourceData.Fertiliser_Products_Data1(),FertiliserProducts[[#Headers],[Include or Exclude]], 0,4)</f>
        <v/>
      </c>
      <c r="O143" s="187" t="str" cm="1">
        <f t="array" ref="O143">Common_InputFunctions.Utility_DisplayArrayInTable(Fertiliser_SourceData.Fertiliser_Products_Data1(),FertiliserProducts[[#Headers],[Include or Exclude]], 0,4)</f>
        <v/>
      </c>
      <c r="P143" s="187" t="str" cm="1">
        <f t="array" ref="P143">Common_InputFunctions.Utility_DisplayArrayInTable(Fertiliser_SourceData.Fertiliser_Products_Data1(),FertiliserProducts[[#Headers],[Include or Exclude]], 0,4)</f>
        <v/>
      </c>
      <c r="Q143" s="187" t="str" cm="1">
        <f t="array" ref="Q143">Common_InputFunctions.Utility_DisplayArrayInTable(Fertiliser_SourceData.Fertiliser_Products_Data1(),FertiliserProducts[[#Headers],[Include or Exclude]], 0,4)</f>
        <v/>
      </c>
      <c r="R143" s="187" t="str" cm="1">
        <f t="array" ref="R143">Common_InputFunctions.Utility_DisplayArrayInTable(Fertiliser_SourceData.Fertiliser_Products_Data1(),FertiliserProducts[[#Headers],[Include or Exclude]], 0,4)</f>
        <v/>
      </c>
      <c r="S143" s="187" t="str" cm="1">
        <f t="array" ref="S143">Common_InputFunctions.Utility_DisplayArrayInTable(Fertiliser_SourceData.Fertiliser_Products_Data1(),FertiliserProducts[[#Headers],[Include or Exclude]], 0,4)</f>
        <v/>
      </c>
      <c r="T143" s="187" t="str" cm="1">
        <f t="array" ref="T143">Common_InputFunctions.Utility_DisplayArrayInTable(Fertiliser_SourceData.Fertiliser_Products_Data1(),FertiliserProducts[[#Headers],[Include or Exclude]], 0,4)</f>
        <v/>
      </c>
      <c r="U143" s="187" t="str" cm="1">
        <f t="array" ref="U143">Common_InputFunctions.Utility_DisplayArrayInTable(Fertiliser_SourceData.Fertiliser_Products_Data1(),FertiliserProducts[[#Headers],[Include or Exclude]], 0,4)</f>
        <v/>
      </c>
      <c r="V143" s="187" t="str" cm="1">
        <f t="array" ref="V143">Common_InputFunctions.Utility_DisplayArrayInTable(Fertiliser_SourceData.Fertiliser_Products_Data1(),FertiliserProducts[[#Headers],[Include or Exclude]], 0,4)</f>
        <v/>
      </c>
      <c r="W143" s="187" t="str" cm="1">
        <f t="array" ref="W143">Common_InputFunctions.Utility_DisplayArrayInTable(Fertiliser_SourceData.Fertiliser_Products_Data1(),FertiliserProducts[[#Headers],[Include or Exclude]], 0,4)</f>
        <v/>
      </c>
      <c r="X143" s="187" t="str" cm="1">
        <f t="array" ref="X143">Common_InputFunctions.Utility_DisplayArrayInTable(Fertiliser_SourceData.Fertiliser_Products_Data1(),FertiliserProducts[[#Headers],[Include or Exclude]], 0,4)</f>
        <v/>
      </c>
      <c r="Y143" s="187" t="str" cm="1">
        <f t="array" ref="Y143">Common_InputFunctions.Utility_DisplayArrayInTable(Fertiliser_SourceData.Fertiliser_Products_Data1(),FertiliserProducts[[#Headers],[Include or Exclude]], 0,4)</f>
        <v/>
      </c>
      <c r="Z143" s="187" t="str" cm="1">
        <f t="array" ref="Z143">Common_InputFunctions.Utility_DisplayArrayInTable(Fertiliser_SourceData.Fertiliser_Products_Data1(),FertiliserProducts[[#Headers],[Include or Exclude]], 0,4)</f>
        <v/>
      </c>
      <c r="AA143" s="187" t="str" cm="1">
        <f t="array" ref="AA143">Common_InputFunctions.Utility_DisplayArrayInTable(Fertiliser_SourceData.Fertiliser_Products_Data1(),FertiliserProducts[[#Headers],[Include or Exclude]], 0,4)</f>
        <v/>
      </c>
      <c r="AB143" s="187" t="str" cm="1">
        <f t="array" ref="AB143">Common_InputFunctions.Utility_DisplayArrayInTable(Fertiliser_SourceData.Fertiliser_Products_Data1(),FertiliserProducts[[#Headers],[Include or Exclude]], 0,4)</f>
        <v/>
      </c>
      <c r="AC143" s="187" t="str" cm="1">
        <f t="array" ref="AC143">Common_InputFunctions.Utility_DisplayArrayInTable(Fertiliser_SourceData.Fertiliser_Products_Data1(),FertiliserProducts[[#Headers],[Include or Exclude]], 0,4)</f>
        <v/>
      </c>
      <c r="AD143" s="187" t="str" cm="1">
        <f t="array" ref="AD143">Common_InputFunctions.Utility_DisplayArrayInTable(Fertiliser_SourceData.Fertiliser_Products_Data1(),FertiliserProducts[[#Headers],[Include or Exclude]], 0,4)</f>
        <v/>
      </c>
      <c r="AE143" s="187" t="str" cm="1">
        <f t="array" ref="AE143">Common_InputFunctions.Utility_DisplayArrayInTable(Fertiliser_SourceData.Fertiliser_Products_Data1(),FertiliserProducts[[#Headers],[Include or Exclude]], 0,4)</f>
        <v/>
      </c>
    </row>
    <row r="144" spans="4:31" ht="20.100000000000001" customHeight="1" x14ac:dyDescent="0.25">
      <c r="D144" s="187" t="str" cm="1">
        <f t="array" ref="D144">Common_InputFunctions.Utility_DisplayArrayInTable(Fertiliser_SourceData.Fertiliser_Products_Data1(),FertiliserProducts[[#Headers],[Include or Exclude]], -1)</f>
        <v/>
      </c>
      <c r="E144" s="187" t="str" cm="1">
        <f t="array" ref="E144">Common_InputFunctions.Utility_DisplayArrayInTable(Fertiliser_SourceData.Fertiliser_Products_Data1(),FertiliserProducts[[#Headers],[Include or Exclude]], 0)</f>
        <v/>
      </c>
      <c r="F144" s="187" t="str" cm="1">
        <f t="array" ref="F144">Common_InputFunctions.Utility_DisplayArrayInTable(Fertiliser_SourceData.Fertiliser_Products_Data1(),FertiliserProducts[[#Headers],[Include or Exclude]], 0)</f>
        <v/>
      </c>
      <c r="G144" s="187" t="str" cm="1">
        <f t="array" ref="G144">Common_InputFunctions.Utility_DisplayArrayInTable(Fertiliser_SourceData.Fertiliser_Products_Data1(),FertiliserProducts[[#Headers],[Include or Exclude]], 0)</f>
        <v/>
      </c>
      <c r="H144" s="187" t="str" cm="1">
        <f t="array" ref="H144">Common_InputFunctions.Utility_DisplayArrayInTable(Fertiliser_SourceData.Fertiliser_Products_Data1(),FertiliserProducts[[#Headers],[Include or Exclude]], 0,4)</f>
        <v/>
      </c>
      <c r="I144" s="187" t="str" cm="1">
        <f t="array" ref="I144">Common_InputFunctions.Utility_DisplayArrayInTable(Fertiliser_SourceData.Fertiliser_Products_Data1(),FertiliserProducts[[#Headers],[Include or Exclude]], 0,4)</f>
        <v/>
      </c>
      <c r="J144" s="187" t="str" cm="1">
        <f t="array" ref="J144">Common_InputFunctions.Utility_DisplayArrayInTable(Fertiliser_SourceData.Fertiliser_Products_Data1(),FertiliserProducts[[#Headers],[Include or Exclude]], 0,4)</f>
        <v/>
      </c>
      <c r="K144" s="187" t="str" cm="1">
        <f t="array" ref="K144">Common_InputFunctions.Utility_DisplayArrayInTable(Fertiliser_SourceData.Fertiliser_Products_Data1(),FertiliserProducts[[#Headers],[Include or Exclude]], 0,4)</f>
        <v/>
      </c>
      <c r="L144" s="187" t="str" cm="1">
        <f t="array" ref="L144">Common_InputFunctions.Utility_DisplayArrayInTable(Fertiliser_SourceData.Fertiliser_Products_Data1(),FertiliserProducts[[#Headers],[Include or Exclude]], 0,4)</f>
        <v/>
      </c>
      <c r="M144" s="187" t="str" cm="1">
        <f t="array" ref="M144">Common_InputFunctions.Utility_DisplayArrayInTable(Fertiliser_SourceData.Fertiliser_Products_Data1(),FertiliserProducts[[#Headers],[Include or Exclude]], 0,4)</f>
        <v/>
      </c>
      <c r="N144" s="187" t="str" cm="1">
        <f t="array" ref="N144">Common_InputFunctions.Utility_DisplayArrayInTable(Fertiliser_SourceData.Fertiliser_Products_Data1(),FertiliserProducts[[#Headers],[Include or Exclude]], 0,4)</f>
        <v/>
      </c>
      <c r="O144" s="187" t="str" cm="1">
        <f t="array" ref="O144">Common_InputFunctions.Utility_DisplayArrayInTable(Fertiliser_SourceData.Fertiliser_Products_Data1(),FertiliserProducts[[#Headers],[Include or Exclude]], 0,4)</f>
        <v/>
      </c>
      <c r="P144" s="187" t="str" cm="1">
        <f t="array" ref="P144">Common_InputFunctions.Utility_DisplayArrayInTable(Fertiliser_SourceData.Fertiliser_Products_Data1(),FertiliserProducts[[#Headers],[Include or Exclude]], 0,4)</f>
        <v/>
      </c>
      <c r="Q144" s="187" t="str" cm="1">
        <f t="array" ref="Q144">Common_InputFunctions.Utility_DisplayArrayInTable(Fertiliser_SourceData.Fertiliser_Products_Data1(),FertiliserProducts[[#Headers],[Include or Exclude]], 0,4)</f>
        <v/>
      </c>
      <c r="R144" s="187" t="str" cm="1">
        <f t="array" ref="R144">Common_InputFunctions.Utility_DisplayArrayInTable(Fertiliser_SourceData.Fertiliser_Products_Data1(),FertiliserProducts[[#Headers],[Include or Exclude]], 0,4)</f>
        <v/>
      </c>
      <c r="S144" s="187" t="str" cm="1">
        <f t="array" ref="S144">Common_InputFunctions.Utility_DisplayArrayInTable(Fertiliser_SourceData.Fertiliser_Products_Data1(),FertiliserProducts[[#Headers],[Include or Exclude]], 0,4)</f>
        <v/>
      </c>
      <c r="T144" s="187" t="str" cm="1">
        <f t="array" ref="T144">Common_InputFunctions.Utility_DisplayArrayInTable(Fertiliser_SourceData.Fertiliser_Products_Data1(),FertiliserProducts[[#Headers],[Include or Exclude]], 0,4)</f>
        <v/>
      </c>
      <c r="U144" s="187" t="str" cm="1">
        <f t="array" ref="U144">Common_InputFunctions.Utility_DisplayArrayInTable(Fertiliser_SourceData.Fertiliser_Products_Data1(),FertiliserProducts[[#Headers],[Include or Exclude]], 0,4)</f>
        <v/>
      </c>
      <c r="V144" s="187" t="str" cm="1">
        <f t="array" ref="V144">Common_InputFunctions.Utility_DisplayArrayInTable(Fertiliser_SourceData.Fertiliser_Products_Data1(),FertiliserProducts[[#Headers],[Include or Exclude]], 0,4)</f>
        <v/>
      </c>
      <c r="W144" s="187" t="str" cm="1">
        <f t="array" ref="W144">Common_InputFunctions.Utility_DisplayArrayInTable(Fertiliser_SourceData.Fertiliser_Products_Data1(),FertiliserProducts[[#Headers],[Include or Exclude]], 0,4)</f>
        <v/>
      </c>
      <c r="X144" s="187" t="str" cm="1">
        <f t="array" ref="X144">Common_InputFunctions.Utility_DisplayArrayInTable(Fertiliser_SourceData.Fertiliser_Products_Data1(),FertiliserProducts[[#Headers],[Include or Exclude]], 0,4)</f>
        <v/>
      </c>
      <c r="Y144" s="187" t="str" cm="1">
        <f t="array" ref="Y144">Common_InputFunctions.Utility_DisplayArrayInTable(Fertiliser_SourceData.Fertiliser_Products_Data1(),FertiliserProducts[[#Headers],[Include or Exclude]], 0,4)</f>
        <v/>
      </c>
      <c r="Z144" s="187" t="str" cm="1">
        <f t="array" ref="Z144">Common_InputFunctions.Utility_DisplayArrayInTable(Fertiliser_SourceData.Fertiliser_Products_Data1(),FertiliserProducts[[#Headers],[Include or Exclude]], 0,4)</f>
        <v/>
      </c>
      <c r="AA144" s="187" t="str" cm="1">
        <f t="array" ref="AA144">Common_InputFunctions.Utility_DisplayArrayInTable(Fertiliser_SourceData.Fertiliser_Products_Data1(),FertiliserProducts[[#Headers],[Include or Exclude]], 0,4)</f>
        <v/>
      </c>
      <c r="AB144" s="187" t="str" cm="1">
        <f t="array" ref="AB144">Common_InputFunctions.Utility_DisplayArrayInTable(Fertiliser_SourceData.Fertiliser_Products_Data1(),FertiliserProducts[[#Headers],[Include or Exclude]], 0,4)</f>
        <v/>
      </c>
      <c r="AC144" s="187" t="str" cm="1">
        <f t="array" ref="AC144">Common_InputFunctions.Utility_DisplayArrayInTable(Fertiliser_SourceData.Fertiliser_Products_Data1(),FertiliserProducts[[#Headers],[Include or Exclude]], 0,4)</f>
        <v/>
      </c>
      <c r="AD144" s="187" t="str" cm="1">
        <f t="array" ref="AD144">Common_InputFunctions.Utility_DisplayArrayInTable(Fertiliser_SourceData.Fertiliser_Products_Data1(),FertiliserProducts[[#Headers],[Include or Exclude]], 0,4)</f>
        <v/>
      </c>
      <c r="AE144" s="187" t="str" cm="1">
        <f t="array" ref="AE144">Common_InputFunctions.Utility_DisplayArrayInTable(Fertiliser_SourceData.Fertiliser_Products_Data1(),FertiliserProducts[[#Headers],[Include or Exclude]], 0,4)</f>
        <v/>
      </c>
    </row>
    <row r="145" spans="4:31" ht="20.100000000000001" customHeight="1" x14ac:dyDescent="0.25">
      <c r="D145" s="187" t="str" cm="1">
        <f t="array" ref="D145">Common_InputFunctions.Utility_DisplayArrayInTable(Fertiliser_SourceData.Fertiliser_Products_Data1(),FertiliserProducts[[#Headers],[Include or Exclude]], -1)</f>
        <v/>
      </c>
      <c r="E145" s="187" t="str" cm="1">
        <f t="array" ref="E145">Common_InputFunctions.Utility_DisplayArrayInTable(Fertiliser_SourceData.Fertiliser_Products_Data1(),FertiliserProducts[[#Headers],[Include or Exclude]], 0)</f>
        <v/>
      </c>
      <c r="F145" s="187" t="str" cm="1">
        <f t="array" ref="F145">Common_InputFunctions.Utility_DisplayArrayInTable(Fertiliser_SourceData.Fertiliser_Products_Data1(),FertiliserProducts[[#Headers],[Include or Exclude]], 0)</f>
        <v/>
      </c>
      <c r="G145" s="187" t="str" cm="1">
        <f t="array" ref="G145">Common_InputFunctions.Utility_DisplayArrayInTable(Fertiliser_SourceData.Fertiliser_Products_Data1(),FertiliserProducts[[#Headers],[Include or Exclude]], 0)</f>
        <v/>
      </c>
      <c r="H145" s="187" t="str" cm="1">
        <f t="array" ref="H145">Common_InputFunctions.Utility_DisplayArrayInTable(Fertiliser_SourceData.Fertiliser_Products_Data1(),FertiliserProducts[[#Headers],[Include or Exclude]], 0,4)</f>
        <v/>
      </c>
      <c r="I145" s="187" t="str" cm="1">
        <f t="array" ref="I145">Common_InputFunctions.Utility_DisplayArrayInTable(Fertiliser_SourceData.Fertiliser_Products_Data1(),FertiliserProducts[[#Headers],[Include or Exclude]], 0,4)</f>
        <v/>
      </c>
      <c r="J145" s="187" t="str" cm="1">
        <f t="array" ref="J145">Common_InputFunctions.Utility_DisplayArrayInTable(Fertiliser_SourceData.Fertiliser_Products_Data1(),FertiliserProducts[[#Headers],[Include or Exclude]], 0,4)</f>
        <v/>
      </c>
      <c r="K145" s="187" t="str" cm="1">
        <f t="array" ref="K145">Common_InputFunctions.Utility_DisplayArrayInTable(Fertiliser_SourceData.Fertiliser_Products_Data1(),FertiliserProducts[[#Headers],[Include or Exclude]], 0,4)</f>
        <v/>
      </c>
      <c r="L145" s="187" t="str" cm="1">
        <f t="array" ref="L145">Common_InputFunctions.Utility_DisplayArrayInTable(Fertiliser_SourceData.Fertiliser_Products_Data1(),FertiliserProducts[[#Headers],[Include or Exclude]], 0,4)</f>
        <v/>
      </c>
      <c r="M145" s="187" t="str" cm="1">
        <f t="array" ref="M145">Common_InputFunctions.Utility_DisplayArrayInTable(Fertiliser_SourceData.Fertiliser_Products_Data1(),FertiliserProducts[[#Headers],[Include or Exclude]], 0,4)</f>
        <v/>
      </c>
      <c r="N145" s="187" t="str" cm="1">
        <f t="array" ref="N145">Common_InputFunctions.Utility_DisplayArrayInTable(Fertiliser_SourceData.Fertiliser_Products_Data1(),FertiliserProducts[[#Headers],[Include or Exclude]], 0,4)</f>
        <v/>
      </c>
      <c r="O145" s="187" t="str" cm="1">
        <f t="array" ref="O145">Common_InputFunctions.Utility_DisplayArrayInTable(Fertiliser_SourceData.Fertiliser_Products_Data1(),FertiliserProducts[[#Headers],[Include or Exclude]], 0,4)</f>
        <v/>
      </c>
      <c r="P145" s="187" t="str" cm="1">
        <f t="array" ref="P145">Common_InputFunctions.Utility_DisplayArrayInTable(Fertiliser_SourceData.Fertiliser_Products_Data1(),FertiliserProducts[[#Headers],[Include or Exclude]], 0,4)</f>
        <v/>
      </c>
      <c r="Q145" s="187" t="str" cm="1">
        <f t="array" ref="Q145">Common_InputFunctions.Utility_DisplayArrayInTable(Fertiliser_SourceData.Fertiliser_Products_Data1(),FertiliserProducts[[#Headers],[Include or Exclude]], 0,4)</f>
        <v/>
      </c>
      <c r="R145" s="187" t="str" cm="1">
        <f t="array" ref="R145">Common_InputFunctions.Utility_DisplayArrayInTable(Fertiliser_SourceData.Fertiliser_Products_Data1(),FertiliserProducts[[#Headers],[Include or Exclude]], 0,4)</f>
        <v/>
      </c>
      <c r="S145" s="187" t="str" cm="1">
        <f t="array" ref="S145">Common_InputFunctions.Utility_DisplayArrayInTable(Fertiliser_SourceData.Fertiliser_Products_Data1(),FertiliserProducts[[#Headers],[Include or Exclude]], 0,4)</f>
        <v/>
      </c>
      <c r="T145" s="187" t="str" cm="1">
        <f t="array" ref="T145">Common_InputFunctions.Utility_DisplayArrayInTable(Fertiliser_SourceData.Fertiliser_Products_Data1(),FertiliserProducts[[#Headers],[Include or Exclude]], 0,4)</f>
        <v/>
      </c>
      <c r="U145" s="187" t="str" cm="1">
        <f t="array" ref="U145">Common_InputFunctions.Utility_DisplayArrayInTable(Fertiliser_SourceData.Fertiliser_Products_Data1(),FertiliserProducts[[#Headers],[Include or Exclude]], 0,4)</f>
        <v/>
      </c>
      <c r="V145" s="187" t="str" cm="1">
        <f t="array" ref="V145">Common_InputFunctions.Utility_DisplayArrayInTable(Fertiliser_SourceData.Fertiliser_Products_Data1(),FertiliserProducts[[#Headers],[Include or Exclude]], 0,4)</f>
        <v/>
      </c>
      <c r="W145" s="187" t="str" cm="1">
        <f t="array" ref="W145">Common_InputFunctions.Utility_DisplayArrayInTable(Fertiliser_SourceData.Fertiliser_Products_Data1(),FertiliserProducts[[#Headers],[Include or Exclude]], 0,4)</f>
        <v/>
      </c>
      <c r="X145" s="187" t="str" cm="1">
        <f t="array" ref="X145">Common_InputFunctions.Utility_DisplayArrayInTable(Fertiliser_SourceData.Fertiliser_Products_Data1(),FertiliserProducts[[#Headers],[Include or Exclude]], 0,4)</f>
        <v/>
      </c>
      <c r="Y145" s="187" t="str" cm="1">
        <f t="array" ref="Y145">Common_InputFunctions.Utility_DisplayArrayInTable(Fertiliser_SourceData.Fertiliser_Products_Data1(),FertiliserProducts[[#Headers],[Include or Exclude]], 0,4)</f>
        <v/>
      </c>
      <c r="Z145" s="187" t="str" cm="1">
        <f t="array" ref="Z145">Common_InputFunctions.Utility_DisplayArrayInTable(Fertiliser_SourceData.Fertiliser_Products_Data1(),FertiliserProducts[[#Headers],[Include or Exclude]], 0,4)</f>
        <v/>
      </c>
      <c r="AA145" s="187" t="str" cm="1">
        <f t="array" ref="AA145">Common_InputFunctions.Utility_DisplayArrayInTable(Fertiliser_SourceData.Fertiliser_Products_Data1(),FertiliserProducts[[#Headers],[Include or Exclude]], 0,4)</f>
        <v/>
      </c>
      <c r="AB145" s="187" t="str" cm="1">
        <f t="array" ref="AB145">Common_InputFunctions.Utility_DisplayArrayInTable(Fertiliser_SourceData.Fertiliser_Products_Data1(),FertiliserProducts[[#Headers],[Include or Exclude]], 0,4)</f>
        <v/>
      </c>
      <c r="AC145" s="187" t="str" cm="1">
        <f t="array" ref="AC145">Common_InputFunctions.Utility_DisplayArrayInTable(Fertiliser_SourceData.Fertiliser_Products_Data1(),FertiliserProducts[[#Headers],[Include or Exclude]], 0,4)</f>
        <v/>
      </c>
      <c r="AD145" s="187" t="str" cm="1">
        <f t="array" ref="AD145">Common_InputFunctions.Utility_DisplayArrayInTable(Fertiliser_SourceData.Fertiliser_Products_Data1(),FertiliserProducts[[#Headers],[Include or Exclude]], 0,4)</f>
        <v/>
      </c>
      <c r="AE145" s="187" t="str" cm="1">
        <f t="array" ref="AE145">Common_InputFunctions.Utility_DisplayArrayInTable(Fertiliser_SourceData.Fertiliser_Products_Data1(),FertiliserProducts[[#Headers],[Include or Exclude]], 0,4)</f>
        <v/>
      </c>
    </row>
    <row r="146" spans="4:31" ht="20.100000000000001" customHeight="1" x14ac:dyDescent="0.25">
      <c r="D146" s="187" t="str" cm="1">
        <f t="array" ref="D146">Common_InputFunctions.Utility_DisplayArrayInTable(Fertiliser_SourceData.Fertiliser_Products_Data1(),FertiliserProducts[[#Headers],[Include or Exclude]], -1)</f>
        <v/>
      </c>
      <c r="E146" s="187" t="str" cm="1">
        <f t="array" ref="E146">Common_InputFunctions.Utility_DisplayArrayInTable(Fertiliser_SourceData.Fertiliser_Products_Data1(),FertiliserProducts[[#Headers],[Include or Exclude]], 0)</f>
        <v/>
      </c>
      <c r="F146" s="187" t="str" cm="1">
        <f t="array" ref="F146">Common_InputFunctions.Utility_DisplayArrayInTable(Fertiliser_SourceData.Fertiliser_Products_Data1(),FertiliserProducts[[#Headers],[Include or Exclude]], 0)</f>
        <v/>
      </c>
      <c r="G146" s="187" t="str" cm="1">
        <f t="array" ref="G146">Common_InputFunctions.Utility_DisplayArrayInTable(Fertiliser_SourceData.Fertiliser_Products_Data1(),FertiliserProducts[[#Headers],[Include or Exclude]], 0)</f>
        <v/>
      </c>
      <c r="H146" s="187" t="str" cm="1">
        <f t="array" ref="H146">Common_InputFunctions.Utility_DisplayArrayInTable(Fertiliser_SourceData.Fertiliser_Products_Data1(),FertiliserProducts[[#Headers],[Include or Exclude]], 0,4)</f>
        <v/>
      </c>
      <c r="I146" s="187" t="str" cm="1">
        <f t="array" ref="I146">Common_InputFunctions.Utility_DisplayArrayInTable(Fertiliser_SourceData.Fertiliser_Products_Data1(),FertiliserProducts[[#Headers],[Include or Exclude]], 0,4)</f>
        <v/>
      </c>
      <c r="J146" s="187" t="str" cm="1">
        <f t="array" ref="J146">Common_InputFunctions.Utility_DisplayArrayInTable(Fertiliser_SourceData.Fertiliser_Products_Data1(),FertiliserProducts[[#Headers],[Include or Exclude]], 0,4)</f>
        <v/>
      </c>
      <c r="K146" s="187" t="str" cm="1">
        <f t="array" ref="K146">Common_InputFunctions.Utility_DisplayArrayInTable(Fertiliser_SourceData.Fertiliser_Products_Data1(),FertiliserProducts[[#Headers],[Include or Exclude]], 0,4)</f>
        <v/>
      </c>
      <c r="L146" s="187" t="str" cm="1">
        <f t="array" ref="L146">Common_InputFunctions.Utility_DisplayArrayInTable(Fertiliser_SourceData.Fertiliser_Products_Data1(),FertiliserProducts[[#Headers],[Include or Exclude]], 0,4)</f>
        <v/>
      </c>
      <c r="M146" s="187" t="str" cm="1">
        <f t="array" ref="M146">Common_InputFunctions.Utility_DisplayArrayInTable(Fertiliser_SourceData.Fertiliser_Products_Data1(),FertiliserProducts[[#Headers],[Include or Exclude]], 0,4)</f>
        <v/>
      </c>
      <c r="N146" s="187" t="str" cm="1">
        <f t="array" ref="N146">Common_InputFunctions.Utility_DisplayArrayInTable(Fertiliser_SourceData.Fertiliser_Products_Data1(),FertiliserProducts[[#Headers],[Include or Exclude]], 0,4)</f>
        <v/>
      </c>
      <c r="O146" s="187" t="str" cm="1">
        <f t="array" ref="O146">Common_InputFunctions.Utility_DisplayArrayInTable(Fertiliser_SourceData.Fertiliser_Products_Data1(),FertiliserProducts[[#Headers],[Include or Exclude]], 0,4)</f>
        <v/>
      </c>
      <c r="P146" s="187" t="str" cm="1">
        <f t="array" ref="P146">Common_InputFunctions.Utility_DisplayArrayInTable(Fertiliser_SourceData.Fertiliser_Products_Data1(),FertiliserProducts[[#Headers],[Include or Exclude]], 0,4)</f>
        <v/>
      </c>
      <c r="Q146" s="187" t="str" cm="1">
        <f t="array" ref="Q146">Common_InputFunctions.Utility_DisplayArrayInTable(Fertiliser_SourceData.Fertiliser_Products_Data1(),FertiliserProducts[[#Headers],[Include or Exclude]], 0,4)</f>
        <v/>
      </c>
      <c r="R146" s="187" t="str" cm="1">
        <f t="array" ref="R146">Common_InputFunctions.Utility_DisplayArrayInTable(Fertiliser_SourceData.Fertiliser_Products_Data1(),FertiliserProducts[[#Headers],[Include or Exclude]], 0,4)</f>
        <v/>
      </c>
      <c r="S146" s="187" t="str" cm="1">
        <f t="array" ref="S146">Common_InputFunctions.Utility_DisplayArrayInTable(Fertiliser_SourceData.Fertiliser_Products_Data1(),FertiliserProducts[[#Headers],[Include or Exclude]], 0,4)</f>
        <v/>
      </c>
      <c r="T146" s="187" t="str" cm="1">
        <f t="array" ref="T146">Common_InputFunctions.Utility_DisplayArrayInTable(Fertiliser_SourceData.Fertiliser_Products_Data1(),FertiliserProducts[[#Headers],[Include or Exclude]], 0,4)</f>
        <v/>
      </c>
      <c r="U146" s="187" t="str" cm="1">
        <f t="array" ref="U146">Common_InputFunctions.Utility_DisplayArrayInTable(Fertiliser_SourceData.Fertiliser_Products_Data1(),FertiliserProducts[[#Headers],[Include or Exclude]], 0,4)</f>
        <v/>
      </c>
      <c r="V146" s="187" t="str" cm="1">
        <f t="array" ref="V146">Common_InputFunctions.Utility_DisplayArrayInTable(Fertiliser_SourceData.Fertiliser_Products_Data1(),FertiliserProducts[[#Headers],[Include or Exclude]], 0,4)</f>
        <v/>
      </c>
      <c r="W146" s="187" t="str" cm="1">
        <f t="array" ref="W146">Common_InputFunctions.Utility_DisplayArrayInTable(Fertiliser_SourceData.Fertiliser_Products_Data1(),FertiliserProducts[[#Headers],[Include or Exclude]], 0,4)</f>
        <v/>
      </c>
      <c r="X146" s="187" t="str" cm="1">
        <f t="array" ref="X146">Common_InputFunctions.Utility_DisplayArrayInTable(Fertiliser_SourceData.Fertiliser_Products_Data1(),FertiliserProducts[[#Headers],[Include or Exclude]], 0,4)</f>
        <v/>
      </c>
      <c r="Y146" s="187" t="str" cm="1">
        <f t="array" ref="Y146">Common_InputFunctions.Utility_DisplayArrayInTable(Fertiliser_SourceData.Fertiliser_Products_Data1(),FertiliserProducts[[#Headers],[Include or Exclude]], 0,4)</f>
        <v/>
      </c>
      <c r="Z146" s="187" t="str" cm="1">
        <f t="array" ref="Z146">Common_InputFunctions.Utility_DisplayArrayInTable(Fertiliser_SourceData.Fertiliser_Products_Data1(),FertiliserProducts[[#Headers],[Include or Exclude]], 0,4)</f>
        <v/>
      </c>
      <c r="AA146" s="187" t="str" cm="1">
        <f t="array" ref="AA146">Common_InputFunctions.Utility_DisplayArrayInTable(Fertiliser_SourceData.Fertiliser_Products_Data1(),FertiliserProducts[[#Headers],[Include or Exclude]], 0,4)</f>
        <v/>
      </c>
      <c r="AB146" s="187" t="str" cm="1">
        <f t="array" ref="AB146">Common_InputFunctions.Utility_DisplayArrayInTable(Fertiliser_SourceData.Fertiliser_Products_Data1(),FertiliserProducts[[#Headers],[Include or Exclude]], 0,4)</f>
        <v/>
      </c>
      <c r="AC146" s="187" t="str" cm="1">
        <f t="array" ref="AC146">Common_InputFunctions.Utility_DisplayArrayInTable(Fertiliser_SourceData.Fertiliser_Products_Data1(),FertiliserProducts[[#Headers],[Include or Exclude]], 0,4)</f>
        <v/>
      </c>
      <c r="AD146" s="187" t="str" cm="1">
        <f t="array" ref="AD146">Common_InputFunctions.Utility_DisplayArrayInTable(Fertiliser_SourceData.Fertiliser_Products_Data1(),FertiliserProducts[[#Headers],[Include or Exclude]], 0,4)</f>
        <v/>
      </c>
      <c r="AE146" s="187" t="str" cm="1">
        <f t="array" ref="AE146">Common_InputFunctions.Utility_DisplayArrayInTable(Fertiliser_SourceData.Fertiliser_Products_Data1(),FertiliserProducts[[#Headers],[Include or Exclude]], 0,4)</f>
        <v/>
      </c>
    </row>
    <row r="147" spans="4:31" ht="20.100000000000001" customHeight="1" x14ac:dyDescent="0.25">
      <c r="D147" s="187" t="str" cm="1">
        <f t="array" ref="D147">Common_InputFunctions.Utility_DisplayArrayInTable(Fertiliser_SourceData.Fertiliser_Products_Data1(),FertiliserProducts[[#Headers],[Include or Exclude]], -1)</f>
        <v/>
      </c>
      <c r="E147" s="187" t="str" cm="1">
        <f t="array" ref="E147">Common_InputFunctions.Utility_DisplayArrayInTable(Fertiliser_SourceData.Fertiliser_Products_Data1(),FertiliserProducts[[#Headers],[Include or Exclude]], 0)</f>
        <v/>
      </c>
      <c r="F147" s="187" t="str" cm="1">
        <f t="array" ref="F147">Common_InputFunctions.Utility_DisplayArrayInTable(Fertiliser_SourceData.Fertiliser_Products_Data1(),FertiliserProducts[[#Headers],[Include or Exclude]], 0)</f>
        <v/>
      </c>
      <c r="G147" s="187" t="str" cm="1">
        <f t="array" ref="G147">Common_InputFunctions.Utility_DisplayArrayInTable(Fertiliser_SourceData.Fertiliser_Products_Data1(),FertiliserProducts[[#Headers],[Include or Exclude]], 0)</f>
        <v/>
      </c>
      <c r="H147" s="187" t="str" cm="1">
        <f t="array" ref="H147">Common_InputFunctions.Utility_DisplayArrayInTable(Fertiliser_SourceData.Fertiliser_Products_Data1(),FertiliserProducts[[#Headers],[Include or Exclude]], 0,4)</f>
        <v/>
      </c>
      <c r="I147" s="187" t="str" cm="1">
        <f t="array" ref="I147">Common_InputFunctions.Utility_DisplayArrayInTable(Fertiliser_SourceData.Fertiliser_Products_Data1(),FertiliserProducts[[#Headers],[Include or Exclude]], 0,4)</f>
        <v/>
      </c>
      <c r="J147" s="187" t="str" cm="1">
        <f t="array" ref="J147">Common_InputFunctions.Utility_DisplayArrayInTable(Fertiliser_SourceData.Fertiliser_Products_Data1(),FertiliserProducts[[#Headers],[Include or Exclude]], 0,4)</f>
        <v/>
      </c>
      <c r="K147" s="187" t="str" cm="1">
        <f t="array" ref="K147">Common_InputFunctions.Utility_DisplayArrayInTable(Fertiliser_SourceData.Fertiliser_Products_Data1(),FertiliserProducts[[#Headers],[Include or Exclude]], 0,4)</f>
        <v/>
      </c>
      <c r="L147" s="187" t="str" cm="1">
        <f t="array" ref="L147">Common_InputFunctions.Utility_DisplayArrayInTable(Fertiliser_SourceData.Fertiliser_Products_Data1(),FertiliserProducts[[#Headers],[Include or Exclude]], 0,4)</f>
        <v/>
      </c>
      <c r="M147" s="187" t="str" cm="1">
        <f t="array" ref="M147">Common_InputFunctions.Utility_DisplayArrayInTable(Fertiliser_SourceData.Fertiliser_Products_Data1(),FertiliserProducts[[#Headers],[Include or Exclude]], 0,4)</f>
        <v/>
      </c>
      <c r="N147" s="187" t="str" cm="1">
        <f t="array" ref="N147">Common_InputFunctions.Utility_DisplayArrayInTable(Fertiliser_SourceData.Fertiliser_Products_Data1(),FertiliserProducts[[#Headers],[Include or Exclude]], 0,4)</f>
        <v/>
      </c>
      <c r="O147" s="187" t="str" cm="1">
        <f t="array" ref="O147">Common_InputFunctions.Utility_DisplayArrayInTable(Fertiliser_SourceData.Fertiliser_Products_Data1(),FertiliserProducts[[#Headers],[Include or Exclude]], 0,4)</f>
        <v/>
      </c>
      <c r="P147" s="187" t="str" cm="1">
        <f t="array" ref="P147">Common_InputFunctions.Utility_DisplayArrayInTable(Fertiliser_SourceData.Fertiliser_Products_Data1(),FertiliserProducts[[#Headers],[Include or Exclude]], 0,4)</f>
        <v/>
      </c>
      <c r="Q147" s="187" t="str" cm="1">
        <f t="array" ref="Q147">Common_InputFunctions.Utility_DisplayArrayInTable(Fertiliser_SourceData.Fertiliser_Products_Data1(),FertiliserProducts[[#Headers],[Include or Exclude]], 0,4)</f>
        <v/>
      </c>
      <c r="R147" s="187" t="str" cm="1">
        <f t="array" ref="R147">Common_InputFunctions.Utility_DisplayArrayInTable(Fertiliser_SourceData.Fertiliser_Products_Data1(),FertiliserProducts[[#Headers],[Include or Exclude]], 0,4)</f>
        <v/>
      </c>
      <c r="S147" s="187" t="str" cm="1">
        <f t="array" ref="S147">Common_InputFunctions.Utility_DisplayArrayInTable(Fertiliser_SourceData.Fertiliser_Products_Data1(),FertiliserProducts[[#Headers],[Include or Exclude]], 0,4)</f>
        <v/>
      </c>
      <c r="T147" s="187" t="str" cm="1">
        <f t="array" ref="T147">Common_InputFunctions.Utility_DisplayArrayInTable(Fertiliser_SourceData.Fertiliser_Products_Data1(),FertiliserProducts[[#Headers],[Include or Exclude]], 0,4)</f>
        <v/>
      </c>
      <c r="U147" s="187" t="str" cm="1">
        <f t="array" ref="U147">Common_InputFunctions.Utility_DisplayArrayInTable(Fertiliser_SourceData.Fertiliser_Products_Data1(),FertiliserProducts[[#Headers],[Include or Exclude]], 0,4)</f>
        <v/>
      </c>
      <c r="V147" s="187" t="str" cm="1">
        <f t="array" ref="V147">Common_InputFunctions.Utility_DisplayArrayInTable(Fertiliser_SourceData.Fertiliser_Products_Data1(),FertiliserProducts[[#Headers],[Include or Exclude]], 0,4)</f>
        <v/>
      </c>
      <c r="W147" s="187" t="str" cm="1">
        <f t="array" ref="W147">Common_InputFunctions.Utility_DisplayArrayInTable(Fertiliser_SourceData.Fertiliser_Products_Data1(),FertiliserProducts[[#Headers],[Include or Exclude]], 0,4)</f>
        <v/>
      </c>
      <c r="X147" s="187" t="str" cm="1">
        <f t="array" ref="X147">Common_InputFunctions.Utility_DisplayArrayInTable(Fertiliser_SourceData.Fertiliser_Products_Data1(),FertiliserProducts[[#Headers],[Include or Exclude]], 0,4)</f>
        <v/>
      </c>
      <c r="Y147" s="187" t="str" cm="1">
        <f t="array" ref="Y147">Common_InputFunctions.Utility_DisplayArrayInTable(Fertiliser_SourceData.Fertiliser_Products_Data1(),FertiliserProducts[[#Headers],[Include or Exclude]], 0,4)</f>
        <v/>
      </c>
      <c r="Z147" s="187" t="str" cm="1">
        <f t="array" ref="Z147">Common_InputFunctions.Utility_DisplayArrayInTable(Fertiliser_SourceData.Fertiliser_Products_Data1(),FertiliserProducts[[#Headers],[Include or Exclude]], 0,4)</f>
        <v/>
      </c>
      <c r="AA147" s="187" t="str" cm="1">
        <f t="array" ref="AA147">Common_InputFunctions.Utility_DisplayArrayInTable(Fertiliser_SourceData.Fertiliser_Products_Data1(),FertiliserProducts[[#Headers],[Include or Exclude]], 0,4)</f>
        <v/>
      </c>
      <c r="AB147" s="187" t="str" cm="1">
        <f t="array" ref="AB147">Common_InputFunctions.Utility_DisplayArrayInTable(Fertiliser_SourceData.Fertiliser_Products_Data1(),FertiliserProducts[[#Headers],[Include or Exclude]], 0,4)</f>
        <v/>
      </c>
      <c r="AC147" s="187" t="str" cm="1">
        <f t="array" ref="AC147">Common_InputFunctions.Utility_DisplayArrayInTable(Fertiliser_SourceData.Fertiliser_Products_Data1(),FertiliserProducts[[#Headers],[Include or Exclude]], 0,4)</f>
        <v/>
      </c>
      <c r="AD147" s="187" t="str" cm="1">
        <f t="array" ref="AD147">Common_InputFunctions.Utility_DisplayArrayInTable(Fertiliser_SourceData.Fertiliser_Products_Data1(),FertiliserProducts[[#Headers],[Include or Exclude]], 0,4)</f>
        <v/>
      </c>
      <c r="AE147" s="187" t="str" cm="1">
        <f t="array" ref="AE147">Common_InputFunctions.Utility_DisplayArrayInTable(Fertiliser_SourceData.Fertiliser_Products_Data1(),FertiliserProducts[[#Headers],[Include or Exclude]], 0,4)</f>
        <v/>
      </c>
    </row>
    <row r="148" spans="4:31" ht="20.100000000000001" customHeight="1" x14ac:dyDescent="0.25">
      <c r="D148" s="187" t="str" cm="1">
        <f t="array" ref="D148">Common_InputFunctions.Utility_DisplayArrayInTable(Fertiliser_SourceData.Fertiliser_Products_Data1(),FertiliserProducts[[#Headers],[Include or Exclude]], -1)</f>
        <v/>
      </c>
      <c r="E148" s="187" t="str" cm="1">
        <f t="array" ref="E148">Common_InputFunctions.Utility_DisplayArrayInTable(Fertiliser_SourceData.Fertiliser_Products_Data1(),FertiliserProducts[[#Headers],[Include or Exclude]], 0)</f>
        <v/>
      </c>
      <c r="F148" s="187" t="str" cm="1">
        <f t="array" ref="F148">Common_InputFunctions.Utility_DisplayArrayInTable(Fertiliser_SourceData.Fertiliser_Products_Data1(),FertiliserProducts[[#Headers],[Include or Exclude]], 0)</f>
        <v/>
      </c>
      <c r="G148" s="187" t="str" cm="1">
        <f t="array" ref="G148">Common_InputFunctions.Utility_DisplayArrayInTable(Fertiliser_SourceData.Fertiliser_Products_Data1(),FertiliserProducts[[#Headers],[Include or Exclude]], 0)</f>
        <v/>
      </c>
      <c r="H148" s="187" t="str" cm="1">
        <f t="array" ref="H148">Common_InputFunctions.Utility_DisplayArrayInTable(Fertiliser_SourceData.Fertiliser_Products_Data1(),FertiliserProducts[[#Headers],[Include or Exclude]], 0,4)</f>
        <v/>
      </c>
      <c r="I148" s="187" t="str" cm="1">
        <f t="array" ref="I148">Common_InputFunctions.Utility_DisplayArrayInTable(Fertiliser_SourceData.Fertiliser_Products_Data1(),FertiliserProducts[[#Headers],[Include or Exclude]], 0,4)</f>
        <v/>
      </c>
      <c r="J148" s="187" t="str" cm="1">
        <f t="array" ref="J148">Common_InputFunctions.Utility_DisplayArrayInTable(Fertiliser_SourceData.Fertiliser_Products_Data1(),FertiliserProducts[[#Headers],[Include or Exclude]], 0,4)</f>
        <v/>
      </c>
      <c r="K148" s="187" t="str" cm="1">
        <f t="array" ref="K148">Common_InputFunctions.Utility_DisplayArrayInTable(Fertiliser_SourceData.Fertiliser_Products_Data1(),FertiliserProducts[[#Headers],[Include or Exclude]], 0,4)</f>
        <v/>
      </c>
      <c r="L148" s="187" t="str" cm="1">
        <f t="array" ref="L148">Common_InputFunctions.Utility_DisplayArrayInTable(Fertiliser_SourceData.Fertiliser_Products_Data1(),FertiliserProducts[[#Headers],[Include or Exclude]], 0,4)</f>
        <v/>
      </c>
      <c r="M148" s="187" t="str" cm="1">
        <f t="array" ref="M148">Common_InputFunctions.Utility_DisplayArrayInTable(Fertiliser_SourceData.Fertiliser_Products_Data1(),FertiliserProducts[[#Headers],[Include or Exclude]], 0,4)</f>
        <v/>
      </c>
      <c r="N148" s="187" t="str" cm="1">
        <f t="array" ref="N148">Common_InputFunctions.Utility_DisplayArrayInTable(Fertiliser_SourceData.Fertiliser_Products_Data1(),FertiliserProducts[[#Headers],[Include or Exclude]], 0,4)</f>
        <v/>
      </c>
      <c r="O148" s="187" t="str" cm="1">
        <f t="array" ref="O148">Common_InputFunctions.Utility_DisplayArrayInTable(Fertiliser_SourceData.Fertiliser_Products_Data1(),FertiliserProducts[[#Headers],[Include or Exclude]], 0,4)</f>
        <v/>
      </c>
      <c r="P148" s="187" t="str" cm="1">
        <f t="array" ref="P148">Common_InputFunctions.Utility_DisplayArrayInTable(Fertiliser_SourceData.Fertiliser_Products_Data1(),FertiliserProducts[[#Headers],[Include or Exclude]], 0,4)</f>
        <v/>
      </c>
      <c r="Q148" s="187" t="str" cm="1">
        <f t="array" ref="Q148">Common_InputFunctions.Utility_DisplayArrayInTable(Fertiliser_SourceData.Fertiliser_Products_Data1(),FertiliserProducts[[#Headers],[Include or Exclude]], 0,4)</f>
        <v/>
      </c>
      <c r="R148" s="187" t="str" cm="1">
        <f t="array" ref="R148">Common_InputFunctions.Utility_DisplayArrayInTable(Fertiliser_SourceData.Fertiliser_Products_Data1(),FertiliserProducts[[#Headers],[Include or Exclude]], 0,4)</f>
        <v/>
      </c>
      <c r="S148" s="187" t="str" cm="1">
        <f t="array" ref="S148">Common_InputFunctions.Utility_DisplayArrayInTable(Fertiliser_SourceData.Fertiliser_Products_Data1(),FertiliserProducts[[#Headers],[Include or Exclude]], 0,4)</f>
        <v/>
      </c>
      <c r="T148" s="187" t="str" cm="1">
        <f t="array" ref="T148">Common_InputFunctions.Utility_DisplayArrayInTable(Fertiliser_SourceData.Fertiliser_Products_Data1(),FertiliserProducts[[#Headers],[Include or Exclude]], 0,4)</f>
        <v/>
      </c>
      <c r="U148" s="187" t="str" cm="1">
        <f t="array" ref="U148">Common_InputFunctions.Utility_DisplayArrayInTable(Fertiliser_SourceData.Fertiliser_Products_Data1(),FertiliserProducts[[#Headers],[Include or Exclude]], 0,4)</f>
        <v/>
      </c>
      <c r="V148" s="187" t="str" cm="1">
        <f t="array" ref="V148">Common_InputFunctions.Utility_DisplayArrayInTable(Fertiliser_SourceData.Fertiliser_Products_Data1(),FertiliserProducts[[#Headers],[Include or Exclude]], 0,4)</f>
        <v/>
      </c>
      <c r="W148" s="187" t="str" cm="1">
        <f t="array" ref="W148">Common_InputFunctions.Utility_DisplayArrayInTable(Fertiliser_SourceData.Fertiliser_Products_Data1(),FertiliserProducts[[#Headers],[Include or Exclude]], 0,4)</f>
        <v/>
      </c>
      <c r="X148" s="187" t="str" cm="1">
        <f t="array" ref="X148">Common_InputFunctions.Utility_DisplayArrayInTable(Fertiliser_SourceData.Fertiliser_Products_Data1(),FertiliserProducts[[#Headers],[Include or Exclude]], 0,4)</f>
        <v/>
      </c>
      <c r="Y148" s="187" t="str" cm="1">
        <f t="array" ref="Y148">Common_InputFunctions.Utility_DisplayArrayInTable(Fertiliser_SourceData.Fertiliser_Products_Data1(),FertiliserProducts[[#Headers],[Include or Exclude]], 0,4)</f>
        <v/>
      </c>
      <c r="Z148" s="187" t="str" cm="1">
        <f t="array" ref="Z148">Common_InputFunctions.Utility_DisplayArrayInTable(Fertiliser_SourceData.Fertiliser_Products_Data1(),FertiliserProducts[[#Headers],[Include or Exclude]], 0,4)</f>
        <v/>
      </c>
      <c r="AA148" s="187" t="str" cm="1">
        <f t="array" ref="AA148">Common_InputFunctions.Utility_DisplayArrayInTable(Fertiliser_SourceData.Fertiliser_Products_Data1(),FertiliserProducts[[#Headers],[Include or Exclude]], 0,4)</f>
        <v/>
      </c>
      <c r="AB148" s="187" t="str" cm="1">
        <f t="array" ref="AB148">Common_InputFunctions.Utility_DisplayArrayInTable(Fertiliser_SourceData.Fertiliser_Products_Data1(),FertiliserProducts[[#Headers],[Include or Exclude]], 0,4)</f>
        <v/>
      </c>
      <c r="AC148" s="187" t="str" cm="1">
        <f t="array" ref="AC148">Common_InputFunctions.Utility_DisplayArrayInTable(Fertiliser_SourceData.Fertiliser_Products_Data1(),FertiliserProducts[[#Headers],[Include or Exclude]], 0,4)</f>
        <v/>
      </c>
      <c r="AD148" s="187" t="str" cm="1">
        <f t="array" ref="AD148">Common_InputFunctions.Utility_DisplayArrayInTable(Fertiliser_SourceData.Fertiliser_Products_Data1(),FertiliserProducts[[#Headers],[Include or Exclude]], 0,4)</f>
        <v/>
      </c>
      <c r="AE148" s="187" t="str" cm="1">
        <f t="array" ref="AE148">Common_InputFunctions.Utility_DisplayArrayInTable(Fertiliser_SourceData.Fertiliser_Products_Data1(),FertiliserProducts[[#Headers],[Include or Exclude]], 0,4)</f>
        <v/>
      </c>
    </row>
    <row r="149" spans="4:31" ht="20.100000000000001" customHeight="1" x14ac:dyDescent="0.25">
      <c r="D149" s="187" t="str" cm="1">
        <f t="array" ref="D149">Common_InputFunctions.Utility_DisplayArrayInTable(Fertiliser_SourceData.Fertiliser_Products_Data1(),FertiliserProducts[[#Headers],[Include or Exclude]], -1)</f>
        <v/>
      </c>
      <c r="E149" s="187" t="str" cm="1">
        <f t="array" ref="E149">Common_InputFunctions.Utility_DisplayArrayInTable(Fertiliser_SourceData.Fertiliser_Products_Data1(),FertiliserProducts[[#Headers],[Include or Exclude]], 0)</f>
        <v/>
      </c>
      <c r="F149" s="187" t="str" cm="1">
        <f t="array" ref="F149">Common_InputFunctions.Utility_DisplayArrayInTable(Fertiliser_SourceData.Fertiliser_Products_Data1(),FertiliserProducts[[#Headers],[Include or Exclude]], 0)</f>
        <v/>
      </c>
      <c r="G149" s="187" t="str" cm="1">
        <f t="array" ref="G149">Common_InputFunctions.Utility_DisplayArrayInTable(Fertiliser_SourceData.Fertiliser_Products_Data1(),FertiliserProducts[[#Headers],[Include or Exclude]], 0)</f>
        <v/>
      </c>
      <c r="H149" s="187" t="str" cm="1">
        <f t="array" ref="H149">Common_InputFunctions.Utility_DisplayArrayInTable(Fertiliser_SourceData.Fertiliser_Products_Data1(),FertiliserProducts[[#Headers],[Include or Exclude]], 0,4)</f>
        <v/>
      </c>
      <c r="I149" s="187" t="str" cm="1">
        <f t="array" ref="I149">Common_InputFunctions.Utility_DisplayArrayInTable(Fertiliser_SourceData.Fertiliser_Products_Data1(),FertiliserProducts[[#Headers],[Include or Exclude]], 0,4)</f>
        <v/>
      </c>
      <c r="J149" s="187" t="str" cm="1">
        <f t="array" ref="J149">Common_InputFunctions.Utility_DisplayArrayInTable(Fertiliser_SourceData.Fertiliser_Products_Data1(),FertiliserProducts[[#Headers],[Include or Exclude]], 0,4)</f>
        <v/>
      </c>
      <c r="K149" s="187" t="str" cm="1">
        <f t="array" ref="K149">Common_InputFunctions.Utility_DisplayArrayInTable(Fertiliser_SourceData.Fertiliser_Products_Data1(),FertiliserProducts[[#Headers],[Include or Exclude]], 0,4)</f>
        <v/>
      </c>
      <c r="L149" s="187" t="str" cm="1">
        <f t="array" ref="L149">Common_InputFunctions.Utility_DisplayArrayInTable(Fertiliser_SourceData.Fertiliser_Products_Data1(),FertiliserProducts[[#Headers],[Include or Exclude]], 0,4)</f>
        <v/>
      </c>
      <c r="M149" s="187" t="str" cm="1">
        <f t="array" ref="M149">Common_InputFunctions.Utility_DisplayArrayInTable(Fertiliser_SourceData.Fertiliser_Products_Data1(),FertiliserProducts[[#Headers],[Include or Exclude]], 0,4)</f>
        <v/>
      </c>
      <c r="N149" s="187" t="str" cm="1">
        <f t="array" ref="N149">Common_InputFunctions.Utility_DisplayArrayInTable(Fertiliser_SourceData.Fertiliser_Products_Data1(),FertiliserProducts[[#Headers],[Include or Exclude]], 0,4)</f>
        <v/>
      </c>
      <c r="O149" s="187" t="str" cm="1">
        <f t="array" ref="O149">Common_InputFunctions.Utility_DisplayArrayInTable(Fertiliser_SourceData.Fertiliser_Products_Data1(),FertiliserProducts[[#Headers],[Include or Exclude]], 0,4)</f>
        <v/>
      </c>
      <c r="P149" s="187" t="str" cm="1">
        <f t="array" ref="P149">Common_InputFunctions.Utility_DisplayArrayInTable(Fertiliser_SourceData.Fertiliser_Products_Data1(),FertiliserProducts[[#Headers],[Include or Exclude]], 0,4)</f>
        <v/>
      </c>
      <c r="Q149" s="187" t="str" cm="1">
        <f t="array" ref="Q149">Common_InputFunctions.Utility_DisplayArrayInTable(Fertiliser_SourceData.Fertiliser_Products_Data1(),FertiliserProducts[[#Headers],[Include or Exclude]], 0,4)</f>
        <v/>
      </c>
      <c r="R149" s="187" t="str" cm="1">
        <f t="array" ref="R149">Common_InputFunctions.Utility_DisplayArrayInTable(Fertiliser_SourceData.Fertiliser_Products_Data1(),FertiliserProducts[[#Headers],[Include or Exclude]], 0,4)</f>
        <v/>
      </c>
      <c r="S149" s="187" t="str" cm="1">
        <f t="array" ref="S149">Common_InputFunctions.Utility_DisplayArrayInTable(Fertiliser_SourceData.Fertiliser_Products_Data1(),FertiliserProducts[[#Headers],[Include or Exclude]], 0,4)</f>
        <v/>
      </c>
      <c r="T149" s="187" t="str" cm="1">
        <f t="array" ref="T149">Common_InputFunctions.Utility_DisplayArrayInTable(Fertiliser_SourceData.Fertiliser_Products_Data1(),FertiliserProducts[[#Headers],[Include or Exclude]], 0,4)</f>
        <v/>
      </c>
      <c r="U149" s="187" t="str" cm="1">
        <f t="array" ref="U149">Common_InputFunctions.Utility_DisplayArrayInTable(Fertiliser_SourceData.Fertiliser_Products_Data1(),FertiliserProducts[[#Headers],[Include or Exclude]], 0,4)</f>
        <v/>
      </c>
      <c r="V149" s="187" t="str" cm="1">
        <f t="array" ref="V149">Common_InputFunctions.Utility_DisplayArrayInTable(Fertiliser_SourceData.Fertiliser_Products_Data1(),FertiliserProducts[[#Headers],[Include or Exclude]], 0,4)</f>
        <v/>
      </c>
      <c r="W149" s="187" t="str" cm="1">
        <f t="array" ref="W149">Common_InputFunctions.Utility_DisplayArrayInTable(Fertiliser_SourceData.Fertiliser_Products_Data1(),FertiliserProducts[[#Headers],[Include or Exclude]], 0,4)</f>
        <v/>
      </c>
      <c r="X149" s="187" t="str" cm="1">
        <f t="array" ref="X149">Common_InputFunctions.Utility_DisplayArrayInTable(Fertiliser_SourceData.Fertiliser_Products_Data1(),FertiliserProducts[[#Headers],[Include or Exclude]], 0,4)</f>
        <v/>
      </c>
      <c r="Y149" s="187" t="str" cm="1">
        <f t="array" ref="Y149">Common_InputFunctions.Utility_DisplayArrayInTable(Fertiliser_SourceData.Fertiliser_Products_Data1(),FertiliserProducts[[#Headers],[Include or Exclude]], 0,4)</f>
        <v/>
      </c>
      <c r="Z149" s="187" t="str" cm="1">
        <f t="array" ref="Z149">Common_InputFunctions.Utility_DisplayArrayInTable(Fertiliser_SourceData.Fertiliser_Products_Data1(),FertiliserProducts[[#Headers],[Include or Exclude]], 0,4)</f>
        <v/>
      </c>
      <c r="AA149" s="187" t="str" cm="1">
        <f t="array" ref="AA149">Common_InputFunctions.Utility_DisplayArrayInTable(Fertiliser_SourceData.Fertiliser_Products_Data1(),FertiliserProducts[[#Headers],[Include or Exclude]], 0,4)</f>
        <v/>
      </c>
      <c r="AB149" s="187" t="str" cm="1">
        <f t="array" ref="AB149">Common_InputFunctions.Utility_DisplayArrayInTable(Fertiliser_SourceData.Fertiliser_Products_Data1(),FertiliserProducts[[#Headers],[Include or Exclude]], 0,4)</f>
        <v/>
      </c>
      <c r="AC149" s="187" t="str" cm="1">
        <f t="array" ref="AC149">Common_InputFunctions.Utility_DisplayArrayInTable(Fertiliser_SourceData.Fertiliser_Products_Data1(),FertiliserProducts[[#Headers],[Include or Exclude]], 0,4)</f>
        <v/>
      </c>
      <c r="AD149" s="187" t="str" cm="1">
        <f t="array" ref="AD149">Common_InputFunctions.Utility_DisplayArrayInTable(Fertiliser_SourceData.Fertiliser_Products_Data1(),FertiliserProducts[[#Headers],[Include or Exclude]], 0,4)</f>
        <v/>
      </c>
      <c r="AE149" s="187" t="str" cm="1">
        <f t="array" ref="AE149">Common_InputFunctions.Utility_DisplayArrayInTable(Fertiliser_SourceData.Fertiliser_Products_Data1(),FertiliserProducts[[#Headers],[Include or Exclude]], 0,4)</f>
        <v/>
      </c>
    </row>
    <row r="150" spans="4:31" ht="20.100000000000001" customHeight="1" x14ac:dyDescent="0.25">
      <c r="D150" s="187" t="str" cm="1">
        <f t="array" ref="D150">Common_InputFunctions.Utility_DisplayArrayInTable(Fertiliser_SourceData.Fertiliser_Products_Data1(),FertiliserProducts[[#Headers],[Include or Exclude]], -1)</f>
        <v/>
      </c>
      <c r="E150" s="187" t="str" cm="1">
        <f t="array" ref="E150">Common_InputFunctions.Utility_DisplayArrayInTable(Fertiliser_SourceData.Fertiliser_Products_Data1(),FertiliserProducts[[#Headers],[Include or Exclude]], 0)</f>
        <v/>
      </c>
      <c r="F150" s="187" t="str" cm="1">
        <f t="array" ref="F150">Common_InputFunctions.Utility_DisplayArrayInTable(Fertiliser_SourceData.Fertiliser_Products_Data1(),FertiliserProducts[[#Headers],[Include or Exclude]], 0)</f>
        <v/>
      </c>
      <c r="G150" s="187" t="str" cm="1">
        <f t="array" ref="G150">Common_InputFunctions.Utility_DisplayArrayInTable(Fertiliser_SourceData.Fertiliser_Products_Data1(),FertiliserProducts[[#Headers],[Include or Exclude]], 0)</f>
        <v/>
      </c>
      <c r="H150" s="187" t="str" cm="1">
        <f t="array" ref="H150">Common_InputFunctions.Utility_DisplayArrayInTable(Fertiliser_SourceData.Fertiliser_Products_Data1(),FertiliserProducts[[#Headers],[Include or Exclude]], 0,4)</f>
        <v/>
      </c>
      <c r="I150" s="187" t="str" cm="1">
        <f t="array" ref="I150">Common_InputFunctions.Utility_DisplayArrayInTable(Fertiliser_SourceData.Fertiliser_Products_Data1(),FertiliserProducts[[#Headers],[Include or Exclude]], 0,4)</f>
        <v/>
      </c>
      <c r="J150" s="187" t="str" cm="1">
        <f t="array" ref="J150">Common_InputFunctions.Utility_DisplayArrayInTable(Fertiliser_SourceData.Fertiliser_Products_Data1(),FertiliserProducts[[#Headers],[Include or Exclude]], 0,4)</f>
        <v/>
      </c>
      <c r="K150" s="187" t="str" cm="1">
        <f t="array" ref="K150">Common_InputFunctions.Utility_DisplayArrayInTable(Fertiliser_SourceData.Fertiliser_Products_Data1(),FertiliserProducts[[#Headers],[Include or Exclude]], 0,4)</f>
        <v/>
      </c>
      <c r="L150" s="187" t="str" cm="1">
        <f t="array" ref="L150">Common_InputFunctions.Utility_DisplayArrayInTable(Fertiliser_SourceData.Fertiliser_Products_Data1(),FertiliserProducts[[#Headers],[Include or Exclude]], 0,4)</f>
        <v/>
      </c>
      <c r="M150" s="187" t="str" cm="1">
        <f t="array" ref="M150">Common_InputFunctions.Utility_DisplayArrayInTable(Fertiliser_SourceData.Fertiliser_Products_Data1(),FertiliserProducts[[#Headers],[Include or Exclude]], 0,4)</f>
        <v/>
      </c>
      <c r="N150" s="187" t="str" cm="1">
        <f t="array" ref="N150">Common_InputFunctions.Utility_DisplayArrayInTable(Fertiliser_SourceData.Fertiliser_Products_Data1(),FertiliserProducts[[#Headers],[Include or Exclude]], 0,4)</f>
        <v/>
      </c>
      <c r="O150" s="187" t="str" cm="1">
        <f t="array" ref="O150">Common_InputFunctions.Utility_DisplayArrayInTable(Fertiliser_SourceData.Fertiliser_Products_Data1(),FertiliserProducts[[#Headers],[Include or Exclude]], 0,4)</f>
        <v/>
      </c>
      <c r="P150" s="187" t="str" cm="1">
        <f t="array" ref="P150">Common_InputFunctions.Utility_DisplayArrayInTable(Fertiliser_SourceData.Fertiliser_Products_Data1(),FertiliserProducts[[#Headers],[Include or Exclude]], 0,4)</f>
        <v/>
      </c>
      <c r="Q150" s="187" t="str" cm="1">
        <f t="array" ref="Q150">Common_InputFunctions.Utility_DisplayArrayInTable(Fertiliser_SourceData.Fertiliser_Products_Data1(),FertiliserProducts[[#Headers],[Include or Exclude]], 0,4)</f>
        <v/>
      </c>
      <c r="R150" s="187" t="str" cm="1">
        <f t="array" ref="R150">Common_InputFunctions.Utility_DisplayArrayInTable(Fertiliser_SourceData.Fertiliser_Products_Data1(),FertiliserProducts[[#Headers],[Include or Exclude]], 0,4)</f>
        <v/>
      </c>
      <c r="S150" s="187" t="str" cm="1">
        <f t="array" ref="S150">Common_InputFunctions.Utility_DisplayArrayInTable(Fertiliser_SourceData.Fertiliser_Products_Data1(),FertiliserProducts[[#Headers],[Include or Exclude]], 0,4)</f>
        <v/>
      </c>
      <c r="T150" s="187" t="str" cm="1">
        <f t="array" ref="T150">Common_InputFunctions.Utility_DisplayArrayInTable(Fertiliser_SourceData.Fertiliser_Products_Data1(),FertiliserProducts[[#Headers],[Include or Exclude]], 0,4)</f>
        <v/>
      </c>
      <c r="U150" s="187" t="str" cm="1">
        <f t="array" ref="U150">Common_InputFunctions.Utility_DisplayArrayInTable(Fertiliser_SourceData.Fertiliser_Products_Data1(),FertiliserProducts[[#Headers],[Include or Exclude]], 0,4)</f>
        <v/>
      </c>
      <c r="V150" s="187" t="str" cm="1">
        <f t="array" ref="V150">Common_InputFunctions.Utility_DisplayArrayInTable(Fertiliser_SourceData.Fertiliser_Products_Data1(),FertiliserProducts[[#Headers],[Include or Exclude]], 0,4)</f>
        <v/>
      </c>
      <c r="W150" s="187" t="str" cm="1">
        <f t="array" ref="W150">Common_InputFunctions.Utility_DisplayArrayInTable(Fertiliser_SourceData.Fertiliser_Products_Data1(),FertiliserProducts[[#Headers],[Include or Exclude]], 0,4)</f>
        <v/>
      </c>
      <c r="X150" s="187" t="str" cm="1">
        <f t="array" ref="X150">Common_InputFunctions.Utility_DisplayArrayInTable(Fertiliser_SourceData.Fertiliser_Products_Data1(),FertiliserProducts[[#Headers],[Include or Exclude]], 0,4)</f>
        <v/>
      </c>
      <c r="Y150" s="187" t="str" cm="1">
        <f t="array" ref="Y150">Common_InputFunctions.Utility_DisplayArrayInTable(Fertiliser_SourceData.Fertiliser_Products_Data1(),FertiliserProducts[[#Headers],[Include or Exclude]], 0,4)</f>
        <v/>
      </c>
      <c r="Z150" s="187" t="str" cm="1">
        <f t="array" ref="Z150">Common_InputFunctions.Utility_DisplayArrayInTable(Fertiliser_SourceData.Fertiliser_Products_Data1(),FertiliserProducts[[#Headers],[Include or Exclude]], 0,4)</f>
        <v/>
      </c>
      <c r="AA150" s="187" t="str" cm="1">
        <f t="array" ref="AA150">Common_InputFunctions.Utility_DisplayArrayInTable(Fertiliser_SourceData.Fertiliser_Products_Data1(),FertiliserProducts[[#Headers],[Include or Exclude]], 0,4)</f>
        <v/>
      </c>
      <c r="AB150" s="187" t="str" cm="1">
        <f t="array" ref="AB150">Common_InputFunctions.Utility_DisplayArrayInTable(Fertiliser_SourceData.Fertiliser_Products_Data1(),FertiliserProducts[[#Headers],[Include or Exclude]], 0,4)</f>
        <v/>
      </c>
      <c r="AC150" s="187" t="str" cm="1">
        <f t="array" ref="AC150">Common_InputFunctions.Utility_DisplayArrayInTable(Fertiliser_SourceData.Fertiliser_Products_Data1(),FertiliserProducts[[#Headers],[Include or Exclude]], 0,4)</f>
        <v/>
      </c>
      <c r="AD150" s="187" t="str" cm="1">
        <f t="array" ref="AD150">Common_InputFunctions.Utility_DisplayArrayInTable(Fertiliser_SourceData.Fertiliser_Products_Data1(),FertiliserProducts[[#Headers],[Include or Exclude]], 0,4)</f>
        <v/>
      </c>
      <c r="AE150" s="187" t="str" cm="1">
        <f t="array" ref="AE150">Common_InputFunctions.Utility_DisplayArrayInTable(Fertiliser_SourceData.Fertiliser_Products_Data1(),FertiliserProducts[[#Headers],[Include or Exclude]], 0,4)</f>
        <v/>
      </c>
    </row>
    <row r="151" spans="4:31" ht="20.100000000000001" customHeight="1" x14ac:dyDescent="0.25">
      <c r="D151" s="187" t="str" cm="1">
        <f t="array" ref="D151">Common_InputFunctions.Utility_DisplayArrayInTable(Fertiliser_SourceData.Fertiliser_Products_Data1(),FertiliserProducts[[#Headers],[Include or Exclude]], -1)</f>
        <v/>
      </c>
      <c r="E151" s="187" t="str" cm="1">
        <f t="array" ref="E151">Common_InputFunctions.Utility_DisplayArrayInTable(Fertiliser_SourceData.Fertiliser_Products_Data1(),FertiliserProducts[[#Headers],[Include or Exclude]], 0)</f>
        <v/>
      </c>
      <c r="F151" s="187" t="str" cm="1">
        <f t="array" ref="F151">Common_InputFunctions.Utility_DisplayArrayInTable(Fertiliser_SourceData.Fertiliser_Products_Data1(),FertiliserProducts[[#Headers],[Include or Exclude]], 0)</f>
        <v/>
      </c>
      <c r="G151" s="187" t="str" cm="1">
        <f t="array" ref="G151">Common_InputFunctions.Utility_DisplayArrayInTable(Fertiliser_SourceData.Fertiliser_Products_Data1(),FertiliserProducts[[#Headers],[Include or Exclude]], 0)</f>
        <v/>
      </c>
      <c r="H151" s="187" t="str" cm="1">
        <f t="array" ref="H151">Common_InputFunctions.Utility_DisplayArrayInTable(Fertiliser_SourceData.Fertiliser_Products_Data1(),FertiliserProducts[[#Headers],[Include or Exclude]], 0,4)</f>
        <v/>
      </c>
      <c r="I151" s="187" t="str" cm="1">
        <f t="array" ref="I151">Common_InputFunctions.Utility_DisplayArrayInTable(Fertiliser_SourceData.Fertiliser_Products_Data1(),FertiliserProducts[[#Headers],[Include or Exclude]], 0,4)</f>
        <v/>
      </c>
      <c r="J151" s="187" t="str" cm="1">
        <f t="array" ref="J151">Common_InputFunctions.Utility_DisplayArrayInTable(Fertiliser_SourceData.Fertiliser_Products_Data1(),FertiliserProducts[[#Headers],[Include or Exclude]], 0,4)</f>
        <v/>
      </c>
      <c r="K151" s="187" t="str" cm="1">
        <f t="array" ref="K151">Common_InputFunctions.Utility_DisplayArrayInTable(Fertiliser_SourceData.Fertiliser_Products_Data1(),FertiliserProducts[[#Headers],[Include or Exclude]], 0,4)</f>
        <v/>
      </c>
      <c r="L151" s="187" t="str" cm="1">
        <f t="array" ref="L151">Common_InputFunctions.Utility_DisplayArrayInTable(Fertiliser_SourceData.Fertiliser_Products_Data1(),FertiliserProducts[[#Headers],[Include or Exclude]], 0,4)</f>
        <v/>
      </c>
      <c r="M151" s="187" t="str" cm="1">
        <f t="array" ref="M151">Common_InputFunctions.Utility_DisplayArrayInTable(Fertiliser_SourceData.Fertiliser_Products_Data1(),FertiliserProducts[[#Headers],[Include or Exclude]], 0,4)</f>
        <v/>
      </c>
      <c r="N151" s="187" t="str" cm="1">
        <f t="array" ref="N151">Common_InputFunctions.Utility_DisplayArrayInTable(Fertiliser_SourceData.Fertiliser_Products_Data1(),FertiliserProducts[[#Headers],[Include or Exclude]], 0,4)</f>
        <v/>
      </c>
      <c r="O151" s="187" t="str" cm="1">
        <f t="array" ref="O151">Common_InputFunctions.Utility_DisplayArrayInTable(Fertiliser_SourceData.Fertiliser_Products_Data1(),FertiliserProducts[[#Headers],[Include or Exclude]], 0,4)</f>
        <v/>
      </c>
      <c r="P151" s="187" t="str" cm="1">
        <f t="array" ref="P151">Common_InputFunctions.Utility_DisplayArrayInTable(Fertiliser_SourceData.Fertiliser_Products_Data1(),FertiliserProducts[[#Headers],[Include or Exclude]], 0,4)</f>
        <v/>
      </c>
      <c r="Q151" s="187" t="str" cm="1">
        <f t="array" ref="Q151">Common_InputFunctions.Utility_DisplayArrayInTable(Fertiliser_SourceData.Fertiliser_Products_Data1(),FertiliserProducts[[#Headers],[Include or Exclude]], 0,4)</f>
        <v/>
      </c>
      <c r="R151" s="187" t="str" cm="1">
        <f t="array" ref="R151">Common_InputFunctions.Utility_DisplayArrayInTable(Fertiliser_SourceData.Fertiliser_Products_Data1(),FertiliserProducts[[#Headers],[Include or Exclude]], 0,4)</f>
        <v/>
      </c>
      <c r="S151" s="187" t="str" cm="1">
        <f t="array" ref="S151">Common_InputFunctions.Utility_DisplayArrayInTable(Fertiliser_SourceData.Fertiliser_Products_Data1(),FertiliserProducts[[#Headers],[Include or Exclude]], 0,4)</f>
        <v/>
      </c>
      <c r="T151" s="187" t="str" cm="1">
        <f t="array" ref="T151">Common_InputFunctions.Utility_DisplayArrayInTable(Fertiliser_SourceData.Fertiliser_Products_Data1(),FertiliserProducts[[#Headers],[Include or Exclude]], 0,4)</f>
        <v/>
      </c>
      <c r="U151" s="187" t="str" cm="1">
        <f t="array" ref="U151">Common_InputFunctions.Utility_DisplayArrayInTable(Fertiliser_SourceData.Fertiliser_Products_Data1(),FertiliserProducts[[#Headers],[Include or Exclude]], 0,4)</f>
        <v/>
      </c>
      <c r="V151" s="187" t="str" cm="1">
        <f t="array" ref="V151">Common_InputFunctions.Utility_DisplayArrayInTable(Fertiliser_SourceData.Fertiliser_Products_Data1(),FertiliserProducts[[#Headers],[Include or Exclude]], 0,4)</f>
        <v/>
      </c>
      <c r="W151" s="187" t="str" cm="1">
        <f t="array" ref="W151">Common_InputFunctions.Utility_DisplayArrayInTable(Fertiliser_SourceData.Fertiliser_Products_Data1(),FertiliserProducts[[#Headers],[Include or Exclude]], 0,4)</f>
        <v/>
      </c>
      <c r="X151" s="187" t="str" cm="1">
        <f t="array" ref="X151">Common_InputFunctions.Utility_DisplayArrayInTable(Fertiliser_SourceData.Fertiliser_Products_Data1(),FertiliserProducts[[#Headers],[Include or Exclude]], 0,4)</f>
        <v/>
      </c>
      <c r="Y151" s="187" t="str" cm="1">
        <f t="array" ref="Y151">Common_InputFunctions.Utility_DisplayArrayInTable(Fertiliser_SourceData.Fertiliser_Products_Data1(),FertiliserProducts[[#Headers],[Include or Exclude]], 0,4)</f>
        <v/>
      </c>
      <c r="Z151" s="187" t="str" cm="1">
        <f t="array" ref="Z151">Common_InputFunctions.Utility_DisplayArrayInTable(Fertiliser_SourceData.Fertiliser_Products_Data1(),FertiliserProducts[[#Headers],[Include or Exclude]], 0,4)</f>
        <v/>
      </c>
      <c r="AA151" s="187" t="str" cm="1">
        <f t="array" ref="AA151">Common_InputFunctions.Utility_DisplayArrayInTable(Fertiliser_SourceData.Fertiliser_Products_Data1(),FertiliserProducts[[#Headers],[Include or Exclude]], 0,4)</f>
        <v/>
      </c>
      <c r="AB151" s="187" t="str" cm="1">
        <f t="array" ref="AB151">Common_InputFunctions.Utility_DisplayArrayInTable(Fertiliser_SourceData.Fertiliser_Products_Data1(),FertiliserProducts[[#Headers],[Include or Exclude]], 0,4)</f>
        <v/>
      </c>
      <c r="AC151" s="187" t="str" cm="1">
        <f t="array" ref="AC151">Common_InputFunctions.Utility_DisplayArrayInTable(Fertiliser_SourceData.Fertiliser_Products_Data1(),FertiliserProducts[[#Headers],[Include or Exclude]], 0,4)</f>
        <v/>
      </c>
      <c r="AD151" s="187" t="str" cm="1">
        <f t="array" ref="AD151">Common_InputFunctions.Utility_DisplayArrayInTable(Fertiliser_SourceData.Fertiliser_Products_Data1(),FertiliserProducts[[#Headers],[Include or Exclude]], 0,4)</f>
        <v/>
      </c>
      <c r="AE151" s="187" t="str" cm="1">
        <f t="array" ref="AE151">Common_InputFunctions.Utility_DisplayArrayInTable(Fertiliser_SourceData.Fertiliser_Products_Data1(),FertiliserProducts[[#Headers],[Include or Exclude]], 0,4)</f>
        <v/>
      </c>
    </row>
    <row r="152" spans="4:31" ht="20.100000000000001" customHeight="1" x14ac:dyDescent="0.25">
      <c r="D152" s="187" t="str" cm="1">
        <f t="array" ref="D152">Common_InputFunctions.Utility_DisplayArrayInTable(Fertiliser_SourceData.Fertiliser_Products_Data1(),FertiliserProducts[[#Headers],[Include or Exclude]], -1)</f>
        <v/>
      </c>
      <c r="E152" s="187" t="str" cm="1">
        <f t="array" ref="E152">Common_InputFunctions.Utility_DisplayArrayInTable(Fertiliser_SourceData.Fertiliser_Products_Data1(),FertiliserProducts[[#Headers],[Include or Exclude]], 0)</f>
        <v/>
      </c>
      <c r="F152" s="187" t="str" cm="1">
        <f t="array" ref="F152">Common_InputFunctions.Utility_DisplayArrayInTable(Fertiliser_SourceData.Fertiliser_Products_Data1(),FertiliserProducts[[#Headers],[Include or Exclude]], 0)</f>
        <v/>
      </c>
      <c r="G152" s="187" t="str" cm="1">
        <f t="array" ref="G152">Common_InputFunctions.Utility_DisplayArrayInTable(Fertiliser_SourceData.Fertiliser_Products_Data1(),FertiliserProducts[[#Headers],[Include or Exclude]], 0)</f>
        <v/>
      </c>
      <c r="H152" s="187" t="str" cm="1">
        <f t="array" ref="H152">Common_InputFunctions.Utility_DisplayArrayInTable(Fertiliser_SourceData.Fertiliser_Products_Data1(),FertiliserProducts[[#Headers],[Include or Exclude]], 0,4)</f>
        <v/>
      </c>
      <c r="I152" s="187" t="str" cm="1">
        <f t="array" ref="I152">Common_InputFunctions.Utility_DisplayArrayInTable(Fertiliser_SourceData.Fertiliser_Products_Data1(),FertiliserProducts[[#Headers],[Include or Exclude]], 0,4)</f>
        <v/>
      </c>
      <c r="J152" s="187" t="str" cm="1">
        <f t="array" ref="J152">Common_InputFunctions.Utility_DisplayArrayInTable(Fertiliser_SourceData.Fertiliser_Products_Data1(),FertiliserProducts[[#Headers],[Include or Exclude]], 0,4)</f>
        <v/>
      </c>
      <c r="K152" s="187" t="str" cm="1">
        <f t="array" ref="K152">Common_InputFunctions.Utility_DisplayArrayInTable(Fertiliser_SourceData.Fertiliser_Products_Data1(),FertiliserProducts[[#Headers],[Include or Exclude]], 0,4)</f>
        <v/>
      </c>
      <c r="L152" s="187" t="str" cm="1">
        <f t="array" ref="L152">Common_InputFunctions.Utility_DisplayArrayInTable(Fertiliser_SourceData.Fertiliser_Products_Data1(),FertiliserProducts[[#Headers],[Include or Exclude]], 0,4)</f>
        <v/>
      </c>
      <c r="M152" s="187" t="str" cm="1">
        <f t="array" ref="M152">Common_InputFunctions.Utility_DisplayArrayInTable(Fertiliser_SourceData.Fertiliser_Products_Data1(),FertiliserProducts[[#Headers],[Include or Exclude]], 0,4)</f>
        <v/>
      </c>
      <c r="N152" s="187" t="str" cm="1">
        <f t="array" ref="N152">Common_InputFunctions.Utility_DisplayArrayInTable(Fertiliser_SourceData.Fertiliser_Products_Data1(),FertiliserProducts[[#Headers],[Include or Exclude]], 0,4)</f>
        <v/>
      </c>
      <c r="O152" s="187" t="str" cm="1">
        <f t="array" ref="O152">Common_InputFunctions.Utility_DisplayArrayInTable(Fertiliser_SourceData.Fertiliser_Products_Data1(),FertiliserProducts[[#Headers],[Include or Exclude]], 0,4)</f>
        <v/>
      </c>
      <c r="P152" s="187" t="str" cm="1">
        <f t="array" ref="P152">Common_InputFunctions.Utility_DisplayArrayInTable(Fertiliser_SourceData.Fertiliser_Products_Data1(),FertiliserProducts[[#Headers],[Include or Exclude]], 0,4)</f>
        <v/>
      </c>
      <c r="Q152" s="187" t="str" cm="1">
        <f t="array" ref="Q152">Common_InputFunctions.Utility_DisplayArrayInTable(Fertiliser_SourceData.Fertiliser_Products_Data1(),FertiliserProducts[[#Headers],[Include or Exclude]], 0,4)</f>
        <v/>
      </c>
      <c r="R152" s="187" t="str" cm="1">
        <f t="array" ref="R152">Common_InputFunctions.Utility_DisplayArrayInTable(Fertiliser_SourceData.Fertiliser_Products_Data1(),FertiliserProducts[[#Headers],[Include or Exclude]], 0,4)</f>
        <v/>
      </c>
      <c r="S152" s="187" t="str" cm="1">
        <f t="array" ref="S152">Common_InputFunctions.Utility_DisplayArrayInTable(Fertiliser_SourceData.Fertiliser_Products_Data1(),FertiliserProducts[[#Headers],[Include or Exclude]], 0,4)</f>
        <v/>
      </c>
      <c r="T152" s="187" t="str" cm="1">
        <f t="array" ref="T152">Common_InputFunctions.Utility_DisplayArrayInTable(Fertiliser_SourceData.Fertiliser_Products_Data1(),FertiliserProducts[[#Headers],[Include or Exclude]], 0,4)</f>
        <v/>
      </c>
      <c r="U152" s="187" t="str" cm="1">
        <f t="array" ref="U152">Common_InputFunctions.Utility_DisplayArrayInTable(Fertiliser_SourceData.Fertiliser_Products_Data1(),FertiliserProducts[[#Headers],[Include or Exclude]], 0,4)</f>
        <v/>
      </c>
      <c r="V152" s="187" t="str" cm="1">
        <f t="array" ref="V152">Common_InputFunctions.Utility_DisplayArrayInTable(Fertiliser_SourceData.Fertiliser_Products_Data1(),FertiliserProducts[[#Headers],[Include or Exclude]], 0,4)</f>
        <v/>
      </c>
      <c r="W152" s="187" t="str" cm="1">
        <f t="array" ref="W152">Common_InputFunctions.Utility_DisplayArrayInTable(Fertiliser_SourceData.Fertiliser_Products_Data1(),FertiliserProducts[[#Headers],[Include or Exclude]], 0,4)</f>
        <v/>
      </c>
      <c r="X152" s="187" t="str" cm="1">
        <f t="array" ref="X152">Common_InputFunctions.Utility_DisplayArrayInTable(Fertiliser_SourceData.Fertiliser_Products_Data1(),FertiliserProducts[[#Headers],[Include or Exclude]], 0,4)</f>
        <v/>
      </c>
      <c r="Y152" s="187" t="str" cm="1">
        <f t="array" ref="Y152">Common_InputFunctions.Utility_DisplayArrayInTable(Fertiliser_SourceData.Fertiliser_Products_Data1(),FertiliserProducts[[#Headers],[Include or Exclude]], 0,4)</f>
        <v/>
      </c>
      <c r="Z152" s="187" t="str" cm="1">
        <f t="array" ref="Z152">Common_InputFunctions.Utility_DisplayArrayInTable(Fertiliser_SourceData.Fertiliser_Products_Data1(),FertiliserProducts[[#Headers],[Include or Exclude]], 0,4)</f>
        <v/>
      </c>
      <c r="AA152" s="187" t="str" cm="1">
        <f t="array" ref="AA152">Common_InputFunctions.Utility_DisplayArrayInTable(Fertiliser_SourceData.Fertiliser_Products_Data1(),FertiliserProducts[[#Headers],[Include or Exclude]], 0,4)</f>
        <v/>
      </c>
      <c r="AB152" s="187" t="str" cm="1">
        <f t="array" ref="AB152">Common_InputFunctions.Utility_DisplayArrayInTable(Fertiliser_SourceData.Fertiliser_Products_Data1(),FertiliserProducts[[#Headers],[Include or Exclude]], 0,4)</f>
        <v/>
      </c>
      <c r="AC152" s="187" t="str" cm="1">
        <f t="array" ref="AC152">Common_InputFunctions.Utility_DisplayArrayInTable(Fertiliser_SourceData.Fertiliser_Products_Data1(),FertiliserProducts[[#Headers],[Include or Exclude]], 0,4)</f>
        <v/>
      </c>
      <c r="AD152" s="187" t="str" cm="1">
        <f t="array" ref="AD152">Common_InputFunctions.Utility_DisplayArrayInTable(Fertiliser_SourceData.Fertiliser_Products_Data1(),FertiliserProducts[[#Headers],[Include or Exclude]], 0,4)</f>
        <v/>
      </c>
      <c r="AE152" s="187" t="str" cm="1">
        <f t="array" ref="AE152">Common_InputFunctions.Utility_DisplayArrayInTable(Fertiliser_SourceData.Fertiliser_Products_Data1(),FertiliserProducts[[#Headers],[Include or Exclude]], 0,4)</f>
        <v/>
      </c>
    </row>
    <row r="153" spans="4:31" ht="20.100000000000001" customHeight="1" x14ac:dyDescent="0.25">
      <c r="D153" s="187" t="str" cm="1">
        <f t="array" ref="D153">Common_InputFunctions.Utility_DisplayArrayInTable(Fertiliser_SourceData.Fertiliser_Products_Data1(),FertiliserProducts[[#Headers],[Include or Exclude]], -1)</f>
        <v/>
      </c>
      <c r="E153" s="187" t="str" cm="1">
        <f t="array" ref="E153">Common_InputFunctions.Utility_DisplayArrayInTable(Fertiliser_SourceData.Fertiliser_Products_Data1(),FertiliserProducts[[#Headers],[Include or Exclude]], 0)</f>
        <v/>
      </c>
      <c r="F153" s="187" t="str" cm="1">
        <f t="array" ref="F153">Common_InputFunctions.Utility_DisplayArrayInTable(Fertiliser_SourceData.Fertiliser_Products_Data1(),FertiliserProducts[[#Headers],[Include or Exclude]], 0)</f>
        <v/>
      </c>
      <c r="G153" s="187" t="str" cm="1">
        <f t="array" ref="G153">Common_InputFunctions.Utility_DisplayArrayInTable(Fertiliser_SourceData.Fertiliser_Products_Data1(),FertiliserProducts[[#Headers],[Include or Exclude]], 0)</f>
        <v/>
      </c>
      <c r="H153" s="187" t="str" cm="1">
        <f t="array" ref="H153">Common_InputFunctions.Utility_DisplayArrayInTable(Fertiliser_SourceData.Fertiliser_Products_Data1(),FertiliserProducts[[#Headers],[Include or Exclude]], 0,4)</f>
        <v/>
      </c>
      <c r="I153" s="187" t="str" cm="1">
        <f t="array" ref="I153">Common_InputFunctions.Utility_DisplayArrayInTable(Fertiliser_SourceData.Fertiliser_Products_Data1(),FertiliserProducts[[#Headers],[Include or Exclude]], 0,4)</f>
        <v/>
      </c>
      <c r="J153" s="187" t="str" cm="1">
        <f t="array" ref="J153">Common_InputFunctions.Utility_DisplayArrayInTable(Fertiliser_SourceData.Fertiliser_Products_Data1(),FertiliserProducts[[#Headers],[Include or Exclude]], 0,4)</f>
        <v/>
      </c>
      <c r="K153" s="187" t="str" cm="1">
        <f t="array" ref="K153">Common_InputFunctions.Utility_DisplayArrayInTable(Fertiliser_SourceData.Fertiliser_Products_Data1(),FertiliserProducts[[#Headers],[Include or Exclude]], 0,4)</f>
        <v/>
      </c>
      <c r="L153" s="187" t="str" cm="1">
        <f t="array" ref="L153">Common_InputFunctions.Utility_DisplayArrayInTable(Fertiliser_SourceData.Fertiliser_Products_Data1(),FertiliserProducts[[#Headers],[Include or Exclude]], 0,4)</f>
        <v/>
      </c>
      <c r="M153" s="187" t="str" cm="1">
        <f t="array" ref="M153">Common_InputFunctions.Utility_DisplayArrayInTable(Fertiliser_SourceData.Fertiliser_Products_Data1(),FertiliserProducts[[#Headers],[Include or Exclude]], 0,4)</f>
        <v/>
      </c>
      <c r="N153" s="187" t="str" cm="1">
        <f t="array" ref="N153">Common_InputFunctions.Utility_DisplayArrayInTable(Fertiliser_SourceData.Fertiliser_Products_Data1(),FertiliserProducts[[#Headers],[Include or Exclude]], 0,4)</f>
        <v/>
      </c>
      <c r="O153" s="187" t="str" cm="1">
        <f t="array" ref="O153">Common_InputFunctions.Utility_DisplayArrayInTable(Fertiliser_SourceData.Fertiliser_Products_Data1(),FertiliserProducts[[#Headers],[Include or Exclude]], 0,4)</f>
        <v/>
      </c>
      <c r="P153" s="187" t="str" cm="1">
        <f t="array" ref="P153">Common_InputFunctions.Utility_DisplayArrayInTable(Fertiliser_SourceData.Fertiliser_Products_Data1(),FertiliserProducts[[#Headers],[Include or Exclude]], 0,4)</f>
        <v/>
      </c>
      <c r="Q153" s="187" t="str" cm="1">
        <f t="array" ref="Q153">Common_InputFunctions.Utility_DisplayArrayInTable(Fertiliser_SourceData.Fertiliser_Products_Data1(),FertiliserProducts[[#Headers],[Include or Exclude]], 0,4)</f>
        <v/>
      </c>
      <c r="R153" s="187" t="str" cm="1">
        <f t="array" ref="R153">Common_InputFunctions.Utility_DisplayArrayInTable(Fertiliser_SourceData.Fertiliser_Products_Data1(),FertiliserProducts[[#Headers],[Include or Exclude]], 0,4)</f>
        <v/>
      </c>
      <c r="S153" s="187" t="str" cm="1">
        <f t="array" ref="S153">Common_InputFunctions.Utility_DisplayArrayInTable(Fertiliser_SourceData.Fertiliser_Products_Data1(),FertiliserProducts[[#Headers],[Include or Exclude]], 0,4)</f>
        <v/>
      </c>
      <c r="T153" s="187" t="str" cm="1">
        <f t="array" ref="T153">Common_InputFunctions.Utility_DisplayArrayInTable(Fertiliser_SourceData.Fertiliser_Products_Data1(),FertiliserProducts[[#Headers],[Include or Exclude]], 0,4)</f>
        <v/>
      </c>
      <c r="U153" s="187" t="str" cm="1">
        <f t="array" ref="U153">Common_InputFunctions.Utility_DisplayArrayInTable(Fertiliser_SourceData.Fertiliser_Products_Data1(),FertiliserProducts[[#Headers],[Include or Exclude]], 0,4)</f>
        <v/>
      </c>
      <c r="V153" s="187" t="str" cm="1">
        <f t="array" ref="V153">Common_InputFunctions.Utility_DisplayArrayInTable(Fertiliser_SourceData.Fertiliser_Products_Data1(),FertiliserProducts[[#Headers],[Include or Exclude]], 0,4)</f>
        <v/>
      </c>
      <c r="W153" s="187" t="str" cm="1">
        <f t="array" ref="W153">Common_InputFunctions.Utility_DisplayArrayInTable(Fertiliser_SourceData.Fertiliser_Products_Data1(),FertiliserProducts[[#Headers],[Include or Exclude]], 0,4)</f>
        <v/>
      </c>
      <c r="X153" s="187" t="str" cm="1">
        <f t="array" ref="X153">Common_InputFunctions.Utility_DisplayArrayInTable(Fertiliser_SourceData.Fertiliser_Products_Data1(),FertiliserProducts[[#Headers],[Include or Exclude]], 0,4)</f>
        <v/>
      </c>
      <c r="Y153" s="187" t="str" cm="1">
        <f t="array" ref="Y153">Common_InputFunctions.Utility_DisplayArrayInTable(Fertiliser_SourceData.Fertiliser_Products_Data1(),FertiliserProducts[[#Headers],[Include or Exclude]], 0,4)</f>
        <v/>
      </c>
      <c r="Z153" s="187" t="str" cm="1">
        <f t="array" ref="Z153">Common_InputFunctions.Utility_DisplayArrayInTable(Fertiliser_SourceData.Fertiliser_Products_Data1(),FertiliserProducts[[#Headers],[Include or Exclude]], 0,4)</f>
        <v/>
      </c>
      <c r="AA153" s="187" t="str" cm="1">
        <f t="array" ref="AA153">Common_InputFunctions.Utility_DisplayArrayInTable(Fertiliser_SourceData.Fertiliser_Products_Data1(),FertiliserProducts[[#Headers],[Include or Exclude]], 0,4)</f>
        <v/>
      </c>
      <c r="AB153" s="187" t="str" cm="1">
        <f t="array" ref="AB153">Common_InputFunctions.Utility_DisplayArrayInTable(Fertiliser_SourceData.Fertiliser_Products_Data1(),FertiliserProducts[[#Headers],[Include or Exclude]], 0,4)</f>
        <v/>
      </c>
      <c r="AC153" s="187" t="str" cm="1">
        <f t="array" ref="AC153">Common_InputFunctions.Utility_DisplayArrayInTable(Fertiliser_SourceData.Fertiliser_Products_Data1(),FertiliserProducts[[#Headers],[Include or Exclude]], 0,4)</f>
        <v/>
      </c>
      <c r="AD153" s="187" t="str" cm="1">
        <f t="array" ref="AD153">Common_InputFunctions.Utility_DisplayArrayInTable(Fertiliser_SourceData.Fertiliser_Products_Data1(),FertiliserProducts[[#Headers],[Include or Exclude]], 0,4)</f>
        <v/>
      </c>
      <c r="AE153" s="18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F7ABC-2E44-4139-9035-E54AD18B579A}">
  <dimension ref="A1:AI165"/>
  <sheetViews>
    <sheetView showGridLines="0" topLeftCell="A138"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8"/>
      <c r="F5" s="178"/>
      <c r="G5" s="178"/>
      <c r="H5" s="178"/>
      <c r="I5" s="178"/>
      <c r="J5" s="178"/>
      <c r="K5" s="178"/>
      <c r="L5" s="17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8"/>
      <c r="F6" s="178"/>
      <c r="G6" s="178"/>
      <c r="H6" s="178"/>
      <c r="I6" s="178"/>
      <c r="J6" s="178"/>
      <c r="K6" s="178"/>
      <c r="L6" s="178"/>
    </row>
    <row r="7" spans="1:35" ht="20.100000000000001" customHeight="1" x14ac:dyDescent="0.25">
      <c r="D7" s="27" t="str" cm="1">
        <f t="array" ref="D7">Fuel_SourceData.Fuel_Scope1Scope3EmissionFactorsTransport_Source()</f>
        <v>Australian National Greenhouse Accounts Factors 2025 - Table 9</v>
      </c>
      <c r="E7" s="178"/>
      <c r="F7" s="178"/>
      <c r="G7" s="178"/>
      <c r="H7" s="178"/>
      <c r="I7" s="178"/>
      <c r="J7" s="178"/>
      <c r="K7" s="178"/>
      <c r="L7" s="178"/>
    </row>
    <row r="8" spans="1:35" ht="20.100000000000001" customHeight="1" x14ac:dyDescent="0.25">
      <c r="A8" s="7" t="s">
        <v>0</v>
      </c>
      <c r="D8" s="36" t="str" cm="1">
        <f t="array" ref="D8">"⚠️" &amp; Fuel_SourceData.Fuel_Scope1Scope3EmissionFactorsTransport_Variation()</f>
        <v>⚠️VARIATION OF SOURCE DATA: 'NE' values returned as zero for calculations.</v>
      </c>
      <c r="E8" s="178"/>
      <c r="F8" s="178"/>
      <c r="G8" s="178"/>
      <c r="H8" s="178"/>
      <c r="I8" s="178"/>
      <c r="J8" s="178"/>
      <c r="K8" s="178"/>
      <c r="L8" s="178"/>
    </row>
    <row r="9" spans="1:35" ht="20.100000000000001" customHeight="1" x14ac:dyDescent="0.25">
      <c r="A9" s="5" t="str">
        <f>HYPERLINK("#'Input - Enterprise'!A1", "Enterprise")</f>
        <v>Enterprise</v>
      </c>
      <c r="D9" s="227" t="s">
        <v>755</v>
      </c>
      <c r="E9" s="227" t="s">
        <v>756</v>
      </c>
      <c r="F9" s="227" t="s">
        <v>757</v>
      </c>
      <c r="G9" s="227" t="s">
        <v>758</v>
      </c>
      <c r="H9" s="227" t="s">
        <v>759</v>
      </c>
      <c r="I9" s="227" t="s">
        <v>760</v>
      </c>
      <c r="J9" s="227" t="s">
        <v>761</v>
      </c>
      <c r="K9" s="227" t="s">
        <v>762</v>
      </c>
      <c r="L9" s="227" t="s">
        <v>763</v>
      </c>
    </row>
    <row r="10" spans="1:35" ht="20.100000000000001" customHeight="1" x14ac:dyDescent="0.25">
      <c r="A10" s="5" t="str">
        <f>HYPERLINK("#'Input - Site'!A1", "Site")</f>
        <v>Site</v>
      </c>
      <c r="D10" s="228" t="str" cm="1">
        <f t="array" ref="D10">Common_InputFunctions.Utility_DisplayArrayInTable(Fuel_SourceData.Fuel_Scope1Scope3EmissionFactorsTransport_Data(), Table_Fuel_EFs_Transport[[#Headers],[Transport type]], 0)</f>
        <v>Cars and light commercial vehicles</v>
      </c>
      <c r="E10" s="228" t="str" cm="1">
        <f t="array" ref="E10">Common_InputFunctions.Utility_DisplayArrayInTable(Fuel_SourceData.Fuel_Scope1Scope3EmissionFactorsTransport_Data(), Table_Fuel_EFs_Transport[[#Headers],[Transport type]], 0)</f>
        <v>Gasoline</v>
      </c>
      <c r="F10" s="228" cm="1">
        <f t="array" ref="F10">Common_InputFunctions.Utility_DisplayArrayInTable(Fuel_SourceData.Fuel_Scope1Scope3EmissionFactorsTransport_Data(), Table_Fuel_EFs_Transport[[#Headers],[Transport type]], 0)</f>
        <v>34.200000000000003</v>
      </c>
      <c r="G10" s="228" t="str" cm="1">
        <f t="array" ref="G10">Common_InputFunctions.Utility_DisplayArrayInTable(Fuel_SourceData.Fuel_Scope1Scope3EmissionFactorsTransport_Data(), Table_Fuel_EFs_Transport[[#Headers],[Transport type]], 0)</f>
        <v>kl</v>
      </c>
      <c r="H10" s="228" cm="1">
        <f t="array" ref="H10">Common_InputFunctions.Utility_DisplayArrayInTable(Fuel_SourceData.Fuel_Scope1Scope3EmissionFactorsTransport_Data(), Table_Fuel_EFs_Transport[[#Headers],[Transport type]], 0)</f>
        <v>67.400000000000006</v>
      </c>
      <c r="I10" s="228" cm="1">
        <f t="array" ref="I10">Common_InputFunctions.Utility_DisplayArrayInTable(Fuel_SourceData.Fuel_Scope1Scope3EmissionFactorsTransport_Data(), Table_Fuel_EFs_Transport[[#Headers],[Transport type]], 0)</f>
        <v>0.02</v>
      </c>
      <c r="J10" s="228" cm="1">
        <f t="array" ref="J10">Common_InputFunctions.Utility_DisplayArrayInTable(Fuel_SourceData.Fuel_Scope1Scope3EmissionFactorsTransport_Data(), Table_Fuel_EFs_Transport[[#Headers],[Transport type]], 0)</f>
        <v>0.2</v>
      </c>
      <c r="K10" s="228" cm="1">
        <f t="array" ref="K10">Common_InputFunctions.Utility_DisplayArrayInTable(Fuel_SourceData.Fuel_Scope1Scope3EmissionFactorsTransport_Data(), Table_Fuel_EFs_Transport[[#Headers],[Transport type]], 0)</f>
        <v>67.62</v>
      </c>
      <c r="L10" s="228"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8" t="str" cm="1">
        <f t="array" ref="D11">Common_InputFunctions.Utility_DisplayArrayInTable(Fuel_SourceData.Fuel_Scope1Scope3EmissionFactorsTransport_Data(), Table_Fuel_EFs_Transport[[#Headers],[Transport type]], 0)</f>
        <v>Cars and light commercial vehicles</v>
      </c>
      <c r="E11" s="228" t="str" cm="1">
        <f t="array" ref="E11">Common_InputFunctions.Utility_DisplayArrayInTable(Fuel_SourceData.Fuel_Scope1Scope3EmissionFactorsTransport_Data(), Table_Fuel_EFs_Transport[[#Headers],[Transport type]], 0)</f>
        <v>Diesel oil</v>
      </c>
      <c r="F11" s="228" cm="1">
        <f t="array" ref="F11">Common_InputFunctions.Utility_DisplayArrayInTable(Fuel_SourceData.Fuel_Scope1Scope3EmissionFactorsTransport_Data(), Table_Fuel_EFs_Transport[[#Headers],[Transport type]], 0)</f>
        <v>38.6</v>
      </c>
      <c r="G11" s="228" t="str" cm="1">
        <f t="array" ref="G11">Common_InputFunctions.Utility_DisplayArrayInTable(Fuel_SourceData.Fuel_Scope1Scope3EmissionFactorsTransport_Data(), Table_Fuel_EFs_Transport[[#Headers],[Transport type]], 0)</f>
        <v>kl</v>
      </c>
      <c r="H11" s="228" cm="1">
        <f t="array" ref="H11">Common_InputFunctions.Utility_DisplayArrayInTable(Fuel_SourceData.Fuel_Scope1Scope3EmissionFactorsTransport_Data(), Table_Fuel_EFs_Transport[[#Headers],[Transport type]], 0)</f>
        <v>69.900000000000006</v>
      </c>
      <c r="I11" s="228" cm="1">
        <f t="array" ref="I11">Common_InputFunctions.Utility_DisplayArrayInTable(Fuel_SourceData.Fuel_Scope1Scope3EmissionFactorsTransport_Data(), Table_Fuel_EFs_Transport[[#Headers],[Transport type]], 0)</f>
        <v>0.01</v>
      </c>
      <c r="J11" s="228" cm="1">
        <f t="array" ref="J11">Common_InputFunctions.Utility_DisplayArrayInTable(Fuel_SourceData.Fuel_Scope1Scope3EmissionFactorsTransport_Data(), Table_Fuel_EFs_Transport[[#Headers],[Transport type]], 0)</f>
        <v>0.5</v>
      </c>
      <c r="K11" s="228" cm="1">
        <f t="array" ref="K11">Common_InputFunctions.Utility_DisplayArrayInTable(Fuel_SourceData.Fuel_Scope1Scope3EmissionFactorsTransport_Data(), Table_Fuel_EFs_Transport[[#Headers],[Transport type]], 0)</f>
        <v>70.41</v>
      </c>
      <c r="L11" s="228"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8" t="str" cm="1">
        <f t="array" ref="D12">Common_InputFunctions.Utility_DisplayArrayInTable(Fuel_SourceData.Fuel_Scope1Scope3EmissionFactorsTransport_Data(), Table_Fuel_EFs_Transport[[#Headers],[Transport type]], 0)</f>
        <v>Cars and light commercial vehicles</v>
      </c>
      <c r="E12" s="228" t="str" cm="1">
        <f t="array" ref="E12">Common_InputFunctions.Utility_DisplayArrayInTable(Fuel_SourceData.Fuel_Scope1Scope3EmissionFactorsTransport_Data(), Table_Fuel_EFs_Transport[[#Headers],[Transport type]], 0)</f>
        <v>Liquefied petroleum gas (LPG)</v>
      </c>
      <c r="F12" s="228" cm="1">
        <f t="array" ref="F12">Common_InputFunctions.Utility_DisplayArrayInTable(Fuel_SourceData.Fuel_Scope1Scope3EmissionFactorsTransport_Data(), Table_Fuel_EFs_Transport[[#Headers],[Transport type]], 0)</f>
        <v>26.2</v>
      </c>
      <c r="G12" s="228" t="str" cm="1">
        <f t="array" ref="G12">Common_InputFunctions.Utility_DisplayArrayInTable(Fuel_SourceData.Fuel_Scope1Scope3EmissionFactorsTransport_Data(), Table_Fuel_EFs_Transport[[#Headers],[Transport type]], 0)</f>
        <v>kl</v>
      </c>
      <c r="H12" s="228" cm="1">
        <f t="array" ref="H12">Common_InputFunctions.Utility_DisplayArrayInTable(Fuel_SourceData.Fuel_Scope1Scope3EmissionFactorsTransport_Data(), Table_Fuel_EFs_Transport[[#Headers],[Transport type]], 0)</f>
        <v>60.2</v>
      </c>
      <c r="I12" s="228" cm="1">
        <f t="array" ref="I12">Common_InputFunctions.Utility_DisplayArrayInTable(Fuel_SourceData.Fuel_Scope1Scope3EmissionFactorsTransport_Data(), Table_Fuel_EFs_Transport[[#Headers],[Transport type]], 0)</f>
        <v>0.5</v>
      </c>
      <c r="J12" s="228" cm="1">
        <f t="array" ref="J12">Common_InputFunctions.Utility_DisplayArrayInTable(Fuel_SourceData.Fuel_Scope1Scope3EmissionFactorsTransport_Data(), Table_Fuel_EFs_Transport[[#Headers],[Transport type]], 0)</f>
        <v>0.3</v>
      </c>
      <c r="K12" s="228" cm="1">
        <f t="array" ref="K12">Common_InputFunctions.Utility_DisplayArrayInTable(Fuel_SourceData.Fuel_Scope1Scope3EmissionFactorsTransport_Data(), Table_Fuel_EFs_Transport[[#Headers],[Transport type]], 0)</f>
        <v>61</v>
      </c>
      <c r="L12" s="228"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Pasture'!A1", "Pasture")</f>
        <v>Pasture</v>
      </c>
      <c r="D13" s="228" t="str" cm="1">
        <f t="array" ref="D13">Common_InputFunctions.Utility_DisplayArrayInTable(Fuel_SourceData.Fuel_Scope1Scope3EmissionFactorsTransport_Data(), Table_Fuel_EFs_Transport[[#Headers],[Transport type]], 0)</f>
        <v>Cars and light commercial vehicles</v>
      </c>
      <c r="E13" s="228" t="str" cm="1">
        <f t="array" ref="E13">Common_InputFunctions.Utility_DisplayArrayInTable(Fuel_SourceData.Fuel_Scope1Scope3EmissionFactorsTransport_Data(), Table_Fuel_EFs_Transport[[#Headers],[Transport type]], 0)</f>
        <v>Fuel oil</v>
      </c>
      <c r="F13" s="228" cm="1">
        <f t="array" ref="F13">Common_InputFunctions.Utility_DisplayArrayInTable(Fuel_SourceData.Fuel_Scope1Scope3EmissionFactorsTransport_Data(), Table_Fuel_EFs_Transport[[#Headers],[Transport type]], 0)</f>
        <v>39.700000000000003</v>
      </c>
      <c r="G13" s="228" t="str" cm="1">
        <f t="array" ref="G13">Common_InputFunctions.Utility_DisplayArrayInTable(Fuel_SourceData.Fuel_Scope1Scope3EmissionFactorsTransport_Data(), Table_Fuel_EFs_Transport[[#Headers],[Transport type]], 0)</f>
        <v>kl</v>
      </c>
      <c r="H13" s="228" cm="1">
        <f t="array" ref="H13">Common_InputFunctions.Utility_DisplayArrayInTable(Fuel_SourceData.Fuel_Scope1Scope3EmissionFactorsTransport_Data(), Table_Fuel_EFs_Transport[[#Headers],[Transport type]], 0)</f>
        <v>73.599999999999994</v>
      </c>
      <c r="I13" s="228" cm="1">
        <f t="array" ref="I13">Common_InputFunctions.Utility_DisplayArrayInTable(Fuel_SourceData.Fuel_Scope1Scope3EmissionFactorsTransport_Data(), Table_Fuel_EFs_Transport[[#Headers],[Transport type]], 0)</f>
        <v>0.08</v>
      </c>
      <c r="J13" s="228" cm="1">
        <f t="array" ref="J13">Common_InputFunctions.Utility_DisplayArrayInTable(Fuel_SourceData.Fuel_Scope1Scope3EmissionFactorsTransport_Data(), Table_Fuel_EFs_Transport[[#Headers],[Transport type]], 0)</f>
        <v>0.5</v>
      </c>
      <c r="K13" s="228" cm="1">
        <f t="array" ref="K13">Common_InputFunctions.Utility_DisplayArrayInTable(Fuel_SourceData.Fuel_Scope1Scope3EmissionFactorsTransport_Data(), Table_Fuel_EFs_Transport[[#Headers],[Transport type]], 0)</f>
        <v>74.180000000000007</v>
      </c>
      <c r="L13" s="228"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Fertiliser'!A1", "Fertiliser")</f>
        <v>Fertiliser</v>
      </c>
      <c r="D14" s="228" t="str" cm="1">
        <f t="array" ref="D14">Common_InputFunctions.Utility_DisplayArrayInTable(Fuel_SourceData.Fuel_Scope1Scope3EmissionFactorsTransport_Data(), Table_Fuel_EFs_Transport[[#Headers],[Transport type]], 0)</f>
        <v>Cars and light commercial vehicles</v>
      </c>
      <c r="E14" s="228" t="str" cm="1">
        <f t="array" ref="E14">Common_InputFunctions.Utility_DisplayArrayInTable(Fuel_SourceData.Fuel_Scope1Scope3EmissionFactorsTransport_Data(), Table_Fuel_EFs_Transport[[#Headers],[Transport type]], 0)</f>
        <v>Ethanol</v>
      </c>
      <c r="F14" s="228" cm="1">
        <f t="array" ref="F14">Common_InputFunctions.Utility_DisplayArrayInTable(Fuel_SourceData.Fuel_Scope1Scope3EmissionFactorsTransport_Data(), Table_Fuel_EFs_Transport[[#Headers],[Transport type]], 0)</f>
        <v>23.4</v>
      </c>
      <c r="G14" s="228" t="str" cm="1">
        <f t="array" ref="G14">Common_InputFunctions.Utility_DisplayArrayInTable(Fuel_SourceData.Fuel_Scope1Scope3EmissionFactorsTransport_Data(), Table_Fuel_EFs_Transport[[#Headers],[Transport type]], 0)</f>
        <v>kl</v>
      </c>
      <c r="H14" s="228" cm="1">
        <f t="array" ref="H14">Common_InputFunctions.Utility_DisplayArrayInTable(Fuel_SourceData.Fuel_Scope1Scope3EmissionFactorsTransport_Data(), Table_Fuel_EFs_Transport[[#Headers],[Transport type]], 0)</f>
        <v>0</v>
      </c>
      <c r="I14" s="228" cm="1">
        <f t="array" ref="I14">Common_InputFunctions.Utility_DisplayArrayInTable(Fuel_SourceData.Fuel_Scope1Scope3EmissionFactorsTransport_Data(), Table_Fuel_EFs_Transport[[#Headers],[Transport type]], 0)</f>
        <v>0.2</v>
      </c>
      <c r="J14" s="228" cm="1">
        <f t="array" ref="J14">Common_InputFunctions.Utility_DisplayArrayInTable(Fuel_SourceData.Fuel_Scope1Scope3EmissionFactorsTransport_Data(), Table_Fuel_EFs_Transport[[#Headers],[Transport type]], 0)</f>
        <v>0.2</v>
      </c>
      <c r="K14" s="228" cm="1">
        <f t="array" ref="K14">Common_InputFunctions.Utility_DisplayArrayInTable(Fuel_SourceData.Fuel_Scope1Scope3EmissionFactorsTransport_Data(), Table_Fuel_EFs_Transport[[#Headers],[Transport type]], 0)</f>
        <v>0.4</v>
      </c>
      <c r="L14" s="228"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Fuel'!A1", "Fuel")</f>
        <v>Fuel</v>
      </c>
      <c r="D15" s="228" t="str" cm="1">
        <f t="array" ref="D15">Common_InputFunctions.Utility_DisplayArrayInTable(Fuel_SourceData.Fuel_Scope1Scope3EmissionFactorsTransport_Data(), Table_Fuel_EFs_Transport[[#Headers],[Transport type]], 0)</f>
        <v>Cars and light commercial vehicles</v>
      </c>
      <c r="E15" s="228" t="str" cm="1">
        <f t="array" ref="E15">Common_InputFunctions.Utility_DisplayArrayInTable(Fuel_SourceData.Fuel_Scope1Scope3EmissionFactorsTransport_Data(), Table_Fuel_EFs_Transport[[#Headers],[Transport type]], 0)</f>
        <v>Biodiesel</v>
      </c>
      <c r="F15" s="228" cm="1">
        <f t="array" ref="F15">Common_InputFunctions.Utility_DisplayArrayInTable(Fuel_SourceData.Fuel_Scope1Scope3EmissionFactorsTransport_Data(), Table_Fuel_EFs_Transport[[#Headers],[Transport type]], 0)</f>
        <v>34.6</v>
      </c>
      <c r="G15" s="228" t="str" cm="1">
        <f t="array" ref="G15">Common_InputFunctions.Utility_DisplayArrayInTable(Fuel_SourceData.Fuel_Scope1Scope3EmissionFactorsTransport_Data(), Table_Fuel_EFs_Transport[[#Headers],[Transport type]], 0)</f>
        <v>kl</v>
      </c>
      <c r="H15" s="228" cm="1">
        <f t="array" ref="H15">Common_InputFunctions.Utility_DisplayArrayInTable(Fuel_SourceData.Fuel_Scope1Scope3EmissionFactorsTransport_Data(), Table_Fuel_EFs_Transport[[#Headers],[Transport type]], 0)</f>
        <v>0</v>
      </c>
      <c r="I15" s="228" cm="1">
        <f t="array" ref="I15">Common_InputFunctions.Utility_DisplayArrayInTable(Fuel_SourceData.Fuel_Scope1Scope3EmissionFactorsTransport_Data(), Table_Fuel_EFs_Transport[[#Headers],[Transport type]], 0)</f>
        <v>0.8</v>
      </c>
      <c r="J15" s="228" cm="1">
        <f t="array" ref="J15">Common_InputFunctions.Utility_DisplayArrayInTable(Fuel_SourceData.Fuel_Scope1Scope3EmissionFactorsTransport_Data(), Table_Fuel_EFs_Transport[[#Headers],[Transport type]], 0)</f>
        <v>1.7</v>
      </c>
      <c r="K15" s="228" cm="1">
        <f t="array" ref="K15">Common_InputFunctions.Utility_DisplayArrayInTable(Fuel_SourceData.Fuel_Scope1Scope3EmissionFactorsTransport_Data(), Table_Fuel_EFs_Transport[[#Headers],[Transport type]], 0)</f>
        <v>2.5</v>
      </c>
      <c r="L15" s="228"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Electricity'!A1", "Electricity")</f>
        <v>Electricity</v>
      </c>
      <c r="D16" s="228" t="str" cm="1">
        <f t="array" ref="D16">Common_InputFunctions.Utility_DisplayArrayInTable(Fuel_SourceData.Fuel_Scope1Scope3EmissionFactorsTransport_Data(), Table_Fuel_EFs_Transport[[#Headers],[Transport type]], 0)</f>
        <v>Cars and light commercial vehicles</v>
      </c>
      <c r="E16" s="228" t="str" cm="1">
        <f t="array" ref="E16">Common_InputFunctions.Utility_DisplayArrayInTable(Fuel_SourceData.Fuel_Scope1Scope3EmissionFactorsTransport_Data(), Table_Fuel_EFs_Transport[[#Headers],[Transport type]], 0)</f>
        <v>Renewable diesel</v>
      </c>
      <c r="F16" s="228" cm="1">
        <f t="array" ref="F16">Common_InputFunctions.Utility_DisplayArrayInTable(Fuel_SourceData.Fuel_Scope1Scope3EmissionFactorsTransport_Data(), Table_Fuel_EFs_Transport[[#Headers],[Transport type]], 0)</f>
        <v>38.6</v>
      </c>
      <c r="G16" s="228" t="str" cm="1">
        <f t="array" ref="G16">Common_InputFunctions.Utility_DisplayArrayInTable(Fuel_SourceData.Fuel_Scope1Scope3EmissionFactorsTransport_Data(), Table_Fuel_EFs_Transport[[#Headers],[Transport type]], 0)</f>
        <v>kl</v>
      </c>
      <c r="H16" s="228" cm="1">
        <f t="array" ref="H16">Common_InputFunctions.Utility_DisplayArrayInTable(Fuel_SourceData.Fuel_Scope1Scope3EmissionFactorsTransport_Data(), Table_Fuel_EFs_Transport[[#Headers],[Transport type]], 0)</f>
        <v>0</v>
      </c>
      <c r="I16" s="228" cm="1">
        <f t="array" ref="I16">Common_InputFunctions.Utility_DisplayArrayInTable(Fuel_SourceData.Fuel_Scope1Scope3EmissionFactorsTransport_Data(), Table_Fuel_EFs_Transport[[#Headers],[Transport type]], 0)</f>
        <v>0.01</v>
      </c>
      <c r="J16" s="228" cm="1">
        <f t="array" ref="J16">Common_InputFunctions.Utility_DisplayArrayInTable(Fuel_SourceData.Fuel_Scope1Scope3EmissionFactorsTransport_Data(), Table_Fuel_EFs_Transport[[#Headers],[Transport type]], 0)</f>
        <v>0.5</v>
      </c>
      <c r="K16" s="228" cm="1">
        <f t="array" ref="K16">Common_InputFunctions.Utility_DisplayArrayInTable(Fuel_SourceData.Fuel_Scope1Scope3EmissionFactorsTransport_Data(), Table_Fuel_EFs_Transport[[#Headers],[Transport type]], 0)</f>
        <v>0.51</v>
      </c>
      <c r="L16" s="228"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Farm Inputs'!A1", "Farm Inputs")</f>
        <v>Farm Inputs</v>
      </c>
      <c r="D17" s="228" t="str" cm="1">
        <f t="array" ref="D17">Common_InputFunctions.Utility_DisplayArrayInTable(Fuel_SourceData.Fuel_Scope1Scope3EmissionFactorsTransport_Data(), Table_Fuel_EFs_Transport[[#Headers],[Transport type]], 0)</f>
        <v>Cars and light commercial vehicles</v>
      </c>
      <c r="E17" s="228" t="str" cm="1">
        <f t="array" ref="E17">Common_InputFunctions.Utility_DisplayArrayInTable(Fuel_SourceData.Fuel_Scope1Scope3EmissionFactorsTransport_Data(), Table_Fuel_EFs_Transport[[#Headers],[Transport type]], 0)</f>
        <v>Other biofuels</v>
      </c>
      <c r="F17" s="228" cm="1">
        <f t="array" ref="F17">Common_InputFunctions.Utility_DisplayArrayInTable(Fuel_SourceData.Fuel_Scope1Scope3EmissionFactorsTransport_Data(), Table_Fuel_EFs_Transport[[#Headers],[Transport type]], 0)</f>
        <v>23.4</v>
      </c>
      <c r="G17" s="228" t="str" cm="1">
        <f t="array" ref="G17">Common_InputFunctions.Utility_DisplayArrayInTable(Fuel_SourceData.Fuel_Scope1Scope3EmissionFactorsTransport_Data(), Table_Fuel_EFs_Transport[[#Headers],[Transport type]], 0)</f>
        <v>kl</v>
      </c>
      <c r="H17" s="228" cm="1">
        <f t="array" ref="H17">Common_InputFunctions.Utility_DisplayArrayInTable(Fuel_SourceData.Fuel_Scope1Scope3EmissionFactorsTransport_Data(), Table_Fuel_EFs_Transport[[#Headers],[Transport type]], 0)</f>
        <v>0</v>
      </c>
      <c r="I17" s="228" cm="1">
        <f t="array" ref="I17">Common_InputFunctions.Utility_DisplayArrayInTable(Fuel_SourceData.Fuel_Scope1Scope3EmissionFactorsTransport_Data(), Table_Fuel_EFs_Transport[[#Headers],[Transport type]], 0)</f>
        <v>0.8</v>
      </c>
      <c r="J17" s="228" cm="1">
        <f t="array" ref="J17">Common_InputFunctions.Utility_DisplayArrayInTable(Fuel_SourceData.Fuel_Scope1Scope3EmissionFactorsTransport_Data(), Table_Fuel_EFs_Transport[[#Headers],[Transport type]], 0)</f>
        <v>1.7</v>
      </c>
      <c r="K17" s="228" cm="1">
        <f t="array" ref="K17">Common_InputFunctions.Utility_DisplayArrayInTable(Fuel_SourceData.Fuel_Scope1Scope3EmissionFactorsTransport_Data(), Table_Fuel_EFs_Transport[[#Headers],[Transport type]], 0)</f>
        <v>2.5</v>
      </c>
      <c r="L17" s="228"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228" t="str" cm="1">
        <f t="array" ref="D18">Common_InputFunctions.Utility_DisplayArrayInTable(Fuel_SourceData.Fuel_Scope1Scope3EmissionFactorsTransport_Data(), Table_Fuel_EFs_Transport[[#Headers],[Transport type]], 0)</f>
        <v>Light duty vehicles</v>
      </c>
      <c r="E18" s="228" t="str" cm="1">
        <f t="array" ref="E18">Common_InputFunctions.Utility_DisplayArrayInTable(Fuel_SourceData.Fuel_Scope1Scope3EmissionFactorsTransport_Data(), Table_Fuel_EFs_Transport[[#Headers],[Transport type]], 0)</f>
        <v>Compressed natural gas</v>
      </c>
      <c r="F18" s="228" cm="1">
        <f t="array" ref="F18">Common_InputFunctions.Utility_DisplayArrayInTable(Fuel_SourceData.Fuel_Scope1Scope3EmissionFactorsTransport_Data(), Table_Fuel_EFs_Transport[[#Headers],[Transport type]], 0)</f>
        <v>3.9300000000000002E-2</v>
      </c>
      <c r="G18" s="228" t="str" cm="1">
        <f t="array" ref="G18">Common_InputFunctions.Utility_DisplayArrayInTable(Fuel_SourceData.Fuel_Scope1Scope3EmissionFactorsTransport_Data(), Table_Fuel_EFs_Transport[[#Headers],[Transport type]], 0)</f>
        <v>m3</v>
      </c>
      <c r="H18" s="228" cm="1">
        <f t="array" ref="H18">Common_InputFunctions.Utility_DisplayArrayInTable(Fuel_SourceData.Fuel_Scope1Scope3EmissionFactorsTransport_Data(), Table_Fuel_EFs_Transport[[#Headers],[Transport type]], 0)</f>
        <v>51.4</v>
      </c>
      <c r="I18" s="228" cm="1">
        <f t="array" ref="I18">Common_InputFunctions.Utility_DisplayArrayInTable(Fuel_SourceData.Fuel_Scope1Scope3EmissionFactorsTransport_Data(), Table_Fuel_EFs_Transport[[#Headers],[Transport type]], 0)</f>
        <v>7.3</v>
      </c>
      <c r="J18" s="228" cm="1">
        <f t="array" ref="J18">Common_InputFunctions.Utility_DisplayArrayInTable(Fuel_SourceData.Fuel_Scope1Scope3EmissionFactorsTransport_Data(), Table_Fuel_EFs_Transport[[#Headers],[Transport type]], 0)</f>
        <v>0.3</v>
      </c>
      <c r="K18" s="228" cm="1">
        <f t="array" ref="K18">Common_InputFunctions.Utility_DisplayArrayInTable(Fuel_SourceData.Fuel_Scope1Scope3EmissionFactorsTransport_Data(), Table_Fuel_EFs_Transport[[#Headers],[Transport type]], 0)</f>
        <v>59</v>
      </c>
      <c r="L18" s="228"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Manure sent off-site'!A1", "Manure sent off-site")</f>
        <v>Manure sent off-site</v>
      </c>
      <c r="D19" s="228" t="str" cm="1">
        <f t="array" ref="D19">Common_InputFunctions.Utility_DisplayArrayInTable(Fuel_SourceData.Fuel_Scope1Scope3EmissionFactorsTransport_Data(), Table_Fuel_EFs_Transport[[#Headers],[Transport type]], 0)</f>
        <v>Light duty vehicles</v>
      </c>
      <c r="E19" s="228" t="str" cm="1">
        <f t="array" ref="E19">Common_InputFunctions.Utility_DisplayArrayInTable(Fuel_SourceData.Fuel_Scope1Scope3EmissionFactorsTransport_Data(), Table_Fuel_EFs_Transport[[#Headers],[Transport type]], 0)</f>
        <v>Liquefied natural gas</v>
      </c>
      <c r="F19" s="228" cm="1">
        <f t="array" ref="F19">Common_InputFunctions.Utility_DisplayArrayInTable(Fuel_SourceData.Fuel_Scope1Scope3EmissionFactorsTransport_Data(), Table_Fuel_EFs_Transport[[#Headers],[Transport type]], 0)</f>
        <v>25.3</v>
      </c>
      <c r="G19" s="228" t="str" cm="1">
        <f t="array" ref="G19">Common_InputFunctions.Utility_DisplayArrayInTable(Fuel_SourceData.Fuel_Scope1Scope3EmissionFactorsTransport_Data(), Table_Fuel_EFs_Transport[[#Headers],[Transport type]], 0)</f>
        <v>kl</v>
      </c>
      <c r="H19" s="228" cm="1">
        <f t="array" ref="H19">Common_InputFunctions.Utility_DisplayArrayInTable(Fuel_SourceData.Fuel_Scope1Scope3EmissionFactorsTransport_Data(), Table_Fuel_EFs_Transport[[#Headers],[Transport type]], 0)</f>
        <v>51.4</v>
      </c>
      <c r="I19" s="228" cm="1">
        <f t="array" ref="I19">Common_InputFunctions.Utility_DisplayArrayInTable(Fuel_SourceData.Fuel_Scope1Scope3EmissionFactorsTransport_Data(), Table_Fuel_EFs_Transport[[#Headers],[Transport type]], 0)</f>
        <v>7.3</v>
      </c>
      <c r="J19" s="228" cm="1">
        <f t="array" ref="J19">Common_InputFunctions.Utility_DisplayArrayInTable(Fuel_SourceData.Fuel_Scope1Scope3EmissionFactorsTransport_Data(), Table_Fuel_EFs_Transport[[#Headers],[Transport type]], 0)</f>
        <v>0.3</v>
      </c>
      <c r="K19" s="228" cm="1">
        <f t="array" ref="K19">Common_InputFunctions.Utility_DisplayArrayInTable(Fuel_SourceData.Fuel_Scope1Scope3EmissionFactorsTransport_Data(), Table_Fuel_EFs_Transport[[#Headers],[Transport type]], 0)</f>
        <v>59</v>
      </c>
      <c r="L19" s="228"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Solid waste'!A1", "Solid waste")</f>
        <v>Solid waste</v>
      </c>
      <c r="D20" s="228" t="str" cm="1">
        <f t="array" ref="D20">Common_InputFunctions.Utility_DisplayArrayInTable(Fuel_SourceData.Fuel_Scope1Scope3EmissionFactorsTransport_Data(), Table_Fuel_EFs_Transport[[#Headers],[Transport type]], 0)</f>
        <v>Heavy duty vehicles</v>
      </c>
      <c r="E20" s="228" t="str" cm="1">
        <f t="array" ref="E20">Common_InputFunctions.Utility_DisplayArrayInTable(Fuel_SourceData.Fuel_Scope1Scope3EmissionFactorsTransport_Data(), Table_Fuel_EFs_Transport[[#Headers],[Transport type]], 0)</f>
        <v>Compressed natural gas</v>
      </c>
      <c r="F20" s="228" cm="1">
        <f t="array" ref="F20">Common_InputFunctions.Utility_DisplayArrayInTable(Fuel_SourceData.Fuel_Scope1Scope3EmissionFactorsTransport_Data(), Table_Fuel_EFs_Transport[[#Headers],[Transport type]], 0)</f>
        <v>3.9300000000000002E-2</v>
      </c>
      <c r="G20" s="228" t="str" cm="1">
        <f t="array" ref="G20">Common_InputFunctions.Utility_DisplayArrayInTable(Fuel_SourceData.Fuel_Scope1Scope3EmissionFactorsTransport_Data(), Table_Fuel_EFs_Transport[[#Headers],[Transport type]], 0)</f>
        <v>m3</v>
      </c>
      <c r="H20" s="228" cm="1">
        <f t="array" ref="H20">Common_InputFunctions.Utility_DisplayArrayInTable(Fuel_SourceData.Fuel_Scope1Scope3EmissionFactorsTransport_Data(), Table_Fuel_EFs_Transport[[#Headers],[Transport type]], 0)</f>
        <v>51.4</v>
      </c>
      <c r="I20" s="228" cm="1">
        <f t="array" ref="I20">Common_InputFunctions.Utility_DisplayArrayInTable(Fuel_SourceData.Fuel_Scope1Scope3EmissionFactorsTransport_Data(), Table_Fuel_EFs_Transport[[#Headers],[Transport type]], 0)</f>
        <v>2.8</v>
      </c>
      <c r="J20" s="228" cm="1">
        <f t="array" ref="J20">Common_InputFunctions.Utility_DisplayArrayInTable(Fuel_SourceData.Fuel_Scope1Scope3EmissionFactorsTransport_Data(), Table_Fuel_EFs_Transport[[#Headers],[Transport type]], 0)</f>
        <v>0.3</v>
      </c>
      <c r="K20" s="228" cm="1">
        <f t="array" ref="K20">Common_InputFunctions.Utility_DisplayArrayInTable(Fuel_SourceData.Fuel_Scope1Scope3EmissionFactorsTransport_Data(), Table_Fuel_EFs_Transport[[#Headers],[Transport type]], 0)</f>
        <v>54.5</v>
      </c>
      <c r="L20" s="228" cm="1">
        <f t="array" ref="L20">Common_InputFunctions.Utility_DisplayArrayInTable(Fuel_SourceData.Fuel_Scope1Scope3EmissionFactorsTransport_Data(), Table_Fuel_EFs_Transport[[#Headers],[Transport type]], 0)</f>
        <v>18</v>
      </c>
    </row>
    <row r="21" spans="1:12" ht="20.100000000000001" customHeight="1" x14ac:dyDescent="0.25">
      <c r="D21" s="228" t="str" cm="1">
        <f t="array" ref="D21">Common_InputFunctions.Utility_DisplayArrayInTable(Fuel_SourceData.Fuel_Scope1Scope3EmissionFactorsTransport_Data(), Table_Fuel_EFs_Transport[[#Headers],[Transport type]], 0)</f>
        <v>Heavy duty vehicles</v>
      </c>
      <c r="E21" s="228" t="str" cm="1">
        <f t="array" ref="E21">Common_InputFunctions.Utility_DisplayArrayInTable(Fuel_SourceData.Fuel_Scope1Scope3EmissionFactorsTransport_Data(), Table_Fuel_EFs_Transport[[#Headers],[Transport type]], 0)</f>
        <v>Liquefied natural gas</v>
      </c>
      <c r="F21" s="228" cm="1">
        <f t="array" ref="F21">Common_InputFunctions.Utility_DisplayArrayInTable(Fuel_SourceData.Fuel_Scope1Scope3EmissionFactorsTransport_Data(), Table_Fuel_EFs_Transport[[#Headers],[Transport type]], 0)</f>
        <v>25.3</v>
      </c>
      <c r="G21" s="228" t="str" cm="1">
        <f t="array" ref="G21">Common_InputFunctions.Utility_DisplayArrayInTable(Fuel_SourceData.Fuel_Scope1Scope3EmissionFactorsTransport_Data(), Table_Fuel_EFs_Transport[[#Headers],[Transport type]], 0)</f>
        <v>kl</v>
      </c>
      <c r="H21" s="228" cm="1">
        <f t="array" ref="H21">Common_InputFunctions.Utility_DisplayArrayInTable(Fuel_SourceData.Fuel_Scope1Scope3EmissionFactorsTransport_Data(), Table_Fuel_EFs_Transport[[#Headers],[Transport type]], 0)</f>
        <v>51.4</v>
      </c>
      <c r="I21" s="228" cm="1">
        <f t="array" ref="I21">Common_InputFunctions.Utility_DisplayArrayInTable(Fuel_SourceData.Fuel_Scope1Scope3EmissionFactorsTransport_Data(), Table_Fuel_EFs_Transport[[#Headers],[Transport type]], 0)</f>
        <v>2.8</v>
      </c>
      <c r="J21" s="228" cm="1">
        <f t="array" ref="J21">Common_InputFunctions.Utility_DisplayArrayInTable(Fuel_SourceData.Fuel_Scope1Scope3EmissionFactorsTransport_Data(), Table_Fuel_EFs_Transport[[#Headers],[Transport type]], 0)</f>
        <v>0.3</v>
      </c>
      <c r="K21" s="228" cm="1">
        <f t="array" ref="K21">Common_InputFunctions.Utility_DisplayArrayInTable(Fuel_SourceData.Fuel_Scope1Scope3EmissionFactorsTransport_Data(), Table_Fuel_EFs_Transport[[#Headers],[Transport type]], 0)</f>
        <v>54.5</v>
      </c>
      <c r="L21" s="228" cm="1">
        <f t="array" ref="L21">Common_InputFunctions.Utility_DisplayArrayInTable(Fuel_SourceData.Fuel_Scope1Scope3EmissionFactorsTransport_Data(), Table_Fuel_EFs_Transport[[#Headers],[Transport type]], 0)</f>
        <v>18</v>
      </c>
    </row>
    <row r="22" spans="1:12" ht="20.100000000000001" customHeight="1" x14ac:dyDescent="0.25">
      <c r="D22" s="228" t="str" cm="1">
        <f t="array" ref="D22">Common_InputFunctions.Utility_DisplayArrayInTable(Fuel_SourceData.Fuel_Scope1Scope3EmissionFactorsTransport_Data(), Table_Fuel_EFs_Transport[[#Headers],[Transport type]], 0)</f>
        <v>Heavy duty vehicles</v>
      </c>
      <c r="E22" s="228" t="str" cm="1">
        <f t="array" ref="E22">Common_InputFunctions.Utility_DisplayArrayInTable(Fuel_SourceData.Fuel_Scope1Scope3EmissionFactorsTransport_Data(), Table_Fuel_EFs_Transport[[#Headers],[Transport type]], 0)</f>
        <v>Diesel oil - Euro iv or higher</v>
      </c>
      <c r="F22" s="228" cm="1">
        <f t="array" ref="F22">Common_InputFunctions.Utility_DisplayArrayInTable(Fuel_SourceData.Fuel_Scope1Scope3EmissionFactorsTransport_Data(), Table_Fuel_EFs_Transport[[#Headers],[Transport type]], 0)</f>
        <v>38.6</v>
      </c>
      <c r="G22" s="228" t="str" cm="1">
        <f t="array" ref="G22">Common_InputFunctions.Utility_DisplayArrayInTable(Fuel_SourceData.Fuel_Scope1Scope3EmissionFactorsTransport_Data(), Table_Fuel_EFs_Transport[[#Headers],[Transport type]], 0)</f>
        <v>kl</v>
      </c>
      <c r="H22" s="228" cm="1">
        <f t="array" ref="H22">Common_InputFunctions.Utility_DisplayArrayInTable(Fuel_SourceData.Fuel_Scope1Scope3EmissionFactorsTransport_Data(), Table_Fuel_EFs_Transport[[#Headers],[Transport type]], 0)</f>
        <v>69.900000000000006</v>
      </c>
      <c r="I22" s="228" cm="1">
        <f t="array" ref="I22">Common_InputFunctions.Utility_DisplayArrayInTable(Fuel_SourceData.Fuel_Scope1Scope3EmissionFactorsTransport_Data(), Table_Fuel_EFs_Transport[[#Headers],[Transport type]], 0)</f>
        <v>7.0000000000000007E-2</v>
      </c>
      <c r="J22" s="228" cm="1">
        <f t="array" ref="J22">Common_InputFunctions.Utility_DisplayArrayInTable(Fuel_SourceData.Fuel_Scope1Scope3EmissionFactorsTransport_Data(), Table_Fuel_EFs_Transport[[#Headers],[Transport type]], 0)</f>
        <v>0.4</v>
      </c>
      <c r="K22" s="228" cm="1">
        <f t="array" ref="K22">Common_InputFunctions.Utility_DisplayArrayInTable(Fuel_SourceData.Fuel_Scope1Scope3EmissionFactorsTransport_Data(), Table_Fuel_EFs_Transport[[#Headers],[Transport type]], 0)</f>
        <v>70.37</v>
      </c>
      <c r="L22" s="228" cm="1">
        <f t="array" ref="L22">Common_InputFunctions.Utility_DisplayArrayInTable(Fuel_SourceData.Fuel_Scope1Scope3EmissionFactorsTransport_Data(), Table_Fuel_EFs_Transport[[#Headers],[Transport type]], 0)</f>
        <v>17.3</v>
      </c>
    </row>
    <row r="23" spans="1:12" ht="20.100000000000001" customHeight="1" x14ac:dyDescent="0.25">
      <c r="A23" s="6" t="s">
        <v>2</v>
      </c>
      <c r="D23" s="228" t="str" cm="1">
        <f t="array" ref="D23">Common_InputFunctions.Utility_DisplayArrayInTable(Fuel_SourceData.Fuel_Scope1Scope3EmissionFactorsTransport_Data(), Table_Fuel_EFs_Transport[[#Headers],[Transport type]], 0)</f>
        <v>Heavy duty vehicles</v>
      </c>
      <c r="E23" s="228" t="str" cm="1">
        <f t="array" ref="E23">Common_InputFunctions.Utility_DisplayArrayInTable(Fuel_SourceData.Fuel_Scope1Scope3EmissionFactorsTransport_Data(), Table_Fuel_EFs_Transport[[#Headers],[Transport type]], 0)</f>
        <v>Diesel oil - Euro iii</v>
      </c>
      <c r="F23" s="228" cm="1">
        <f t="array" ref="F23">Common_InputFunctions.Utility_DisplayArrayInTable(Fuel_SourceData.Fuel_Scope1Scope3EmissionFactorsTransport_Data(), Table_Fuel_EFs_Transport[[#Headers],[Transport type]], 0)</f>
        <v>38.6</v>
      </c>
      <c r="G23" s="228" t="str" cm="1">
        <f t="array" ref="G23">Common_InputFunctions.Utility_DisplayArrayInTable(Fuel_SourceData.Fuel_Scope1Scope3EmissionFactorsTransport_Data(), Table_Fuel_EFs_Transport[[#Headers],[Transport type]], 0)</f>
        <v>kl</v>
      </c>
      <c r="H23" s="228" cm="1">
        <f t="array" ref="H23">Common_InputFunctions.Utility_DisplayArrayInTable(Fuel_SourceData.Fuel_Scope1Scope3EmissionFactorsTransport_Data(), Table_Fuel_EFs_Transport[[#Headers],[Transport type]], 0)</f>
        <v>69.900000000000006</v>
      </c>
      <c r="I23" s="228" cm="1">
        <f t="array" ref="I23">Common_InputFunctions.Utility_DisplayArrayInTable(Fuel_SourceData.Fuel_Scope1Scope3EmissionFactorsTransport_Data(), Table_Fuel_EFs_Transport[[#Headers],[Transport type]], 0)</f>
        <v>0.1</v>
      </c>
      <c r="J23" s="228" cm="1">
        <f t="array" ref="J23">Common_InputFunctions.Utility_DisplayArrayInTable(Fuel_SourceData.Fuel_Scope1Scope3EmissionFactorsTransport_Data(), Table_Fuel_EFs_Transport[[#Headers],[Transport type]], 0)</f>
        <v>0.4</v>
      </c>
      <c r="K23" s="228" cm="1">
        <f t="array" ref="K23">Common_InputFunctions.Utility_DisplayArrayInTable(Fuel_SourceData.Fuel_Scope1Scope3EmissionFactorsTransport_Data(), Table_Fuel_EFs_Transport[[#Headers],[Transport type]], 0)</f>
        <v>70.400000000000006</v>
      </c>
      <c r="L23" s="228"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HYPERLINK("#'3.2.1.1-2 Enteric Methane'!A1", "3.2.1.1-2 Enteric methane")</f>
        <v>3.2.1.1-2 Enteric methane</v>
      </c>
      <c r="D24" s="228" t="str" cm="1">
        <f t="array" ref="D24">Common_InputFunctions.Utility_DisplayArrayInTable(Fuel_SourceData.Fuel_Scope1Scope3EmissionFactorsTransport_Data(), Table_Fuel_EFs_Transport[[#Headers],[Transport type]], 0)</f>
        <v>Heavy duty vehicles</v>
      </c>
      <c r="E24" s="228" t="str" cm="1">
        <f t="array" ref="E24">Common_InputFunctions.Utility_DisplayArrayInTable(Fuel_SourceData.Fuel_Scope1Scope3EmissionFactorsTransport_Data(), Table_Fuel_EFs_Transport[[#Headers],[Transport type]], 0)</f>
        <v>Diesel oil - Euro i</v>
      </c>
      <c r="F24" s="228" cm="1">
        <f t="array" ref="F24">Common_InputFunctions.Utility_DisplayArrayInTable(Fuel_SourceData.Fuel_Scope1Scope3EmissionFactorsTransport_Data(), Table_Fuel_EFs_Transport[[#Headers],[Transport type]], 0)</f>
        <v>38.6</v>
      </c>
      <c r="G24" s="228" t="str" cm="1">
        <f t="array" ref="G24">Common_InputFunctions.Utility_DisplayArrayInTable(Fuel_SourceData.Fuel_Scope1Scope3EmissionFactorsTransport_Data(), Table_Fuel_EFs_Transport[[#Headers],[Transport type]], 0)</f>
        <v>kl</v>
      </c>
      <c r="H24" s="228" cm="1">
        <f t="array" ref="H24">Common_InputFunctions.Utility_DisplayArrayInTable(Fuel_SourceData.Fuel_Scope1Scope3EmissionFactorsTransport_Data(), Table_Fuel_EFs_Transport[[#Headers],[Transport type]], 0)</f>
        <v>69.900000000000006</v>
      </c>
      <c r="I24" s="228" cm="1">
        <f t="array" ref="I24">Common_InputFunctions.Utility_DisplayArrayInTable(Fuel_SourceData.Fuel_Scope1Scope3EmissionFactorsTransport_Data(), Table_Fuel_EFs_Transport[[#Headers],[Transport type]], 0)</f>
        <v>0.2</v>
      </c>
      <c r="J24" s="228" cm="1">
        <f t="array" ref="J24">Common_InputFunctions.Utility_DisplayArrayInTable(Fuel_SourceData.Fuel_Scope1Scope3EmissionFactorsTransport_Data(), Table_Fuel_EFs_Transport[[#Headers],[Transport type]], 0)</f>
        <v>0.4</v>
      </c>
      <c r="K24" s="228" cm="1">
        <f t="array" ref="K24">Common_InputFunctions.Utility_DisplayArrayInTable(Fuel_SourceData.Fuel_Scope1Scope3EmissionFactorsTransport_Data(), Table_Fuel_EFs_Transport[[#Headers],[Transport type]], 0)</f>
        <v>70.5</v>
      </c>
      <c r="L24" s="228"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HYPERLINK("#'4.2.1.1-2 Methane'!A1", "4.2.1.1-2 Manure methane")</f>
        <v>4.2.1.1-2 Manure methane</v>
      </c>
      <c r="D25" s="228" t="str" cm="1">
        <f t="array" ref="D25">Common_InputFunctions.Utility_DisplayArrayInTable(Fuel_SourceData.Fuel_Scope1Scope3EmissionFactorsTransport_Data(), Table_Fuel_EFs_Transport[[#Headers],[Transport type]], 0)</f>
        <v>Heavy duty vehicles</v>
      </c>
      <c r="E25" s="228" t="str" cm="1">
        <f t="array" ref="E25">Common_InputFunctions.Utility_DisplayArrayInTable(Fuel_SourceData.Fuel_Scope1Scope3EmissionFactorsTransport_Data(), Table_Fuel_EFs_Transport[[#Headers],[Transport type]], 0)</f>
        <v>Renewable diesel – Euro iv or higher</v>
      </c>
      <c r="F25" s="228" cm="1">
        <f t="array" ref="F25">Common_InputFunctions.Utility_DisplayArrayInTable(Fuel_SourceData.Fuel_Scope1Scope3EmissionFactorsTransport_Data(), Table_Fuel_EFs_Transport[[#Headers],[Transport type]], 0)</f>
        <v>38.6</v>
      </c>
      <c r="G25" s="228" t="str" cm="1">
        <f t="array" ref="G25">Common_InputFunctions.Utility_DisplayArrayInTable(Fuel_SourceData.Fuel_Scope1Scope3EmissionFactorsTransport_Data(), Table_Fuel_EFs_Transport[[#Headers],[Transport type]], 0)</f>
        <v>kl</v>
      </c>
      <c r="H25" s="228" cm="1">
        <f t="array" ref="H25">Common_InputFunctions.Utility_DisplayArrayInTable(Fuel_SourceData.Fuel_Scope1Scope3EmissionFactorsTransport_Data(), Table_Fuel_EFs_Transport[[#Headers],[Transport type]], 0)</f>
        <v>0</v>
      </c>
      <c r="I25" s="228" cm="1">
        <f t="array" ref="I25">Common_InputFunctions.Utility_DisplayArrayInTable(Fuel_SourceData.Fuel_Scope1Scope3EmissionFactorsTransport_Data(), Table_Fuel_EFs_Transport[[#Headers],[Transport type]], 0)</f>
        <v>7.0000000000000007E-2</v>
      </c>
      <c r="J25" s="228" cm="1">
        <f t="array" ref="J25">Common_InputFunctions.Utility_DisplayArrayInTable(Fuel_SourceData.Fuel_Scope1Scope3EmissionFactorsTransport_Data(), Table_Fuel_EFs_Transport[[#Headers],[Transport type]], 0)</f>
        <v>0.4</v>
      </c>
      <c r="K25" s="228" cm="1">
        <f t="array" ref="K25">Common_InputFunctions.Utility_DisplayArrayInTable(Fuel_SourceData.Fuel_Scope1Scope3EmissionFactorsTransport_Data(), Table_Fuel_EFs_Transport[[#Headers],[Transport type]], 0)</f>
        <v>0.47</v>
      </c>
      <c r="L25" s="228"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HYPERLINK("#'4.2.1.3-4 Soil direct N20'!A1", "4.2.1.3-4 Soil direct N2O")</f>
        <v>4.2.1.3-4 Soil direct N2O</v>
      </c>
      <c r="D26" s="228" t="str" cm="1">
        <f t="array" ref="D26">Common_InputFunctions.Utility_DisplayArrayInTable(Fuel_SourceData.Fuel_Scope1Scope3EmissionFactorsTransport_Data(), Table_Fuel_EFs_Transport[[#Headers],[Transport type]], 0)</f>
        <v>Heavy duty vehicles</v>
      </c>
      <c r="E26" s="228" t="str" cm="1">
        <f t="array" ref="E26">Common_InputFunctions.Utility_DisplayArrayInTable(Fuel_SourceData.Fuel_Scope1Scope3EmissionFactorsTransport_Data(), Table_Fuel_EFs_Transport[[#Headers],[Transport type]], 0)</f>
        <v>Renewable diesel – Euro iii</v>
      </c>
      <c r="F26" s="228" cm="1">
        <f t="array" ref="F26">Common_InputFunctions.Utility_DisplayArrayInTable(Fuel_SourceData.Fuel_Scope1Scope3EmissionFactorsTransport_Data(), Table_Fuel_EFs_Transport[[#Headers],[Transport type]], 0)</f>
        <v>38.6</v>
      </c>
      <c r="G26" s="228" t="str" cm="1">
        <f t="array" ref="G26">Common_InputFunctions.Utility_DisplayArrayInTable(Fuel_SourceData.Fuel_Scope1Scope3EmissionFactorsTransport_Data(), Table_Fuel_EFs_Transport[[#Headers],[Transport type]], 0)</f>
        <v>kl</v>
      </c>
      <c r="H26" s="228" cm="1">
        <f t="array" ref="H26">Common_InputFunctions.Utility_DisplayArrayInTable(Fuel_SourceData.Fuel_Scope1Scope3EmissionFactorsTransport_Data(), Table_Fuel_EFs_Transport[[#Headers],[Transport type]], 0)</f>
        <v>0</v>
      </c>
      <c r="I26" s="228" cm="1">
        <f t="array" ref="I26">Common_InputFunctions.Utility_DisplayArrayInTable(Fuel_SourceData.Fuel_Scope1Scope3EmissionFactorsTransport_Data(), Table_Fuel_EFs_Transport[[#Headers],[Transport type]], 0)</f>
        <v>0.1</v>
      </c>
      <c r="J26" s="228" cm="1">
        <f t="array" ref="J26">Common_InputFunctions.Utility_DisplayArrayInTable(Fuel_SourceData.Fuel_Scope1Scope3EmissionFactorsTransport_Data(), Table_Fuel_EFs_Transport[[#Headers],[Transport type]], 0)</f>
        <v>0.4</v>
      </c>
      <c r="K26" s="228" cm="1">
        <f t="array" ref="K26">Common_InputFunctions.Utility_DisplayArrayInTable(Fuel_SourceData.Fuel_Scope1Scope3EmissionFactorsTransport_Data(), Table_Fuel_EFs_Transport[[#Headers],[Transport type]], 0)</f>
        <v>0.5</v>
      </c>
      <c r="L26" s="228"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HYPERLINK("#'4.2.1.5-6 Soil Atmos Dep'!A1", "4.2.1.5-6 Soil atm. deposition")</f>
        <v>4.2.1.5-6 Soil atm. deposition</v>
      </c>
      <c r="D27" s="228" t="str" cm="1">
        <f t="array" ref="D27">Common_InputFunctions.Utility_DisplayArrayInTable(Fuel_SourceData.Fuel_Scope1Scope3EmissionFactorsTransport_Data(), Table_Fuel_EFs_Transport[[#Headers],[Transport type]], 0)</f>
        <v>Heavy duty vehicles</v>
      </c>
      <c r="E27" s="228" t="str" cm="1">
        <f t="array" ref="E27">Common_InputFunctions.Utility_DisplayArrayInTable(Fuel_SourceData.Fuel_Scope1Scope3EmissionFactorsTransport_Data(), Table_Fuel_EFs_Transport[[#Headers],[Transport type]], 0)</f>
        <v>Renewable diesel – Euro i</v>
      </c>
      <c r="F27" s="228" cm="1">
        <f t="array" ref="F27">Common_InputFunctions.Utility_DisplayArrayInTable(Fuel_SourceData.Fuel_Scope1Scope3EmissionFactorsTransport_Data(), Table_Fuel_EFs_Transport[[#Headers],[Transport type]], 0)</f>
        <v>38.6</v>
      </c>
      <c r="G27" s="228" t="str" cm="1">
        <f t="array" ref="G27">Common_InputFunctions.Utility_DisplayArrayInTable(Fuel_SourceData.Fuel_Scope1Scope3EmissionFactorsTransport_Data(), Table_Fuel_EFs_Transport[[#Headers],[Transport type]], 0)</f>
        <v>kl</v>
      </c>
      <c r="H27" s="228" cm="1">
        <f t="array" ref="H27">Common_InputFunctions.Utility_DisplayArrayInTable(Fuel_SourceData.Fuel_Scope1Scope3EmissionFactorsTransport_Data(), Table_Fuel_EFs_Transport[[#Headers],[Transport type]], 0)</f>
        <v>0</v>
      </c>
      <c r="I27" s="228" cm="1">
        <f t="array" ref="I27">Common_InputFunctions.Utility_DisplayArrayInTable(Fuel_SourceData.Fuel_Scope1Scope3EmissionFactorsTransport_Data(), Table_Fuel_EFs_Transport[[#Headers],[Transport type]], 0)</f>
        <v>0.2</v>
      </c>
      <c r="J27" s="228" cm="1">
        <f t="array" ref="J27">Common_InputFunctions.Utility_DisplayArrayInTable(Fuel_SourceData.Fuel_Scope1Scope3EmissionFactorsTransport_Data(), Table_Fuel_EFs_Transport[[#Headers],[Transport type]], 0)</f>
        <v>0.4</v>
      </c>
      <c r="K27" s="228" cm="1">
        <f t="array" ref="K27">Common_InputFunctions.Utility_DisplayArrayInTable(Fuel_SourceData.Fuel_Scope1Scope3EmissionFactorsTransport_Data(), Table_Fuel_EFs_Transport[[#Headers],[Transport type]], 0)</f>
        <v>0.6</v>
      </c>
      <c r="L27" s="228"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HYPERLINK("#'4.2.1.7-8 Soil leach runoff'!A1", "4.2.1.7-8 Soil leach &amp; runoff")</f>
        <v>4.2.1.7-8 Soil leach &amp; runoff</v>
      </c>
      <c r="D28" s="228" t="str" cm="1">
        <f t="array" ref="D28">Common_InputFunctions.Utility_DisplayArrayInTable(Fuel_SourceData.Fuel_Scope1Scope3EmissionFactorsTransport_Data(), Table_Fuel_EFs_Transport[[#Headers],[Transport type]], 0)</f>
        <v>Aviation</v>
      </c>
      <c r="E28" s="228" t="str" cm="1">
        <f t="array" ref="E28">Common_InputFunctions.Utility_DisplayArrayInTable(Fuel_SourceData.Fuel_Scope1Scope3EmissionFactorsTransport_Data(), Table_Fuel_EFs_Transport[[#Headers],[Transport type]], 0)</f>
        <v>Gasoline for use as fuel in an aircraft</v>
      </c>
      <c r="F28" s="228" cm="1">
        <f t="array" ref="F28">Common_InputFunctions.Utility_DisplayArrayInTable(Fuel_SourceData.Fuel_Scope1Scope3EmissionFactorsTransport_Data(), Table_Fuel_EFs_Transport[[#Headers],[Transport type]], 0)</f>
        <v>33.1</v>
      </c>
      <c r="G28" s="228" t="str" cm="1">
        <f t="array" ref="G28">Common_InputFunctions.Utility_DisplayArrayInTable(Fuel_SourceData.Fuel_Scope1Scope3EmissionFactorsTransport_Data(), Table_Fuel_EFs_Transport[[#Headers],[Transport type]], 0)</f>
        <v>kl</v>
      </c>
      <c r="H28" s="228" cm="1">
        <f t="array" ref="H28">Common_InputFunctions.Utility_DisplayArrayInTable(Fuel_SourceData.Fuel_Scope1Scope3EmissionFactorsTransport_Data(), Table_Fuel_EFs_Transport[[#Headers],[Transport type]], 0)</f>
        <v>67</v>
      </c>
      <c r="I28" s="228" cm="1">
        <f t="array" ref="I28">Common_InputFunctions.Utility_DisplayArrayInTable(Fuel_SourceData.Fuel_Scope1Scope3EmissionFactorsTransport_Data(), Table_Fuel_EFs_Transport[[#Headers],[Transport type]], 0)</f>
        <v>0.06</v>
      </c>
      <c r="J28" s="228" cm="1">
        <f t="array" ref="J28">Common_InputFunctions.Utility_DisplayArrayInTable(Fuel_SourceData.Fuel_Scope1Scope3EmissionFactorsTransport_Data(), Table_Fuel_EFs_Transport[[#Headers],[Transport type]], 0)</f>
        <v>0.6</v>
      </c>
      <c r="K28" s="228" cm="1">
        <f t="array" ref="K28">Common_InputFunctions.Utility_DisplayArrayInTable(Fuel_SourceData.Fuel_Scope1Scope3EmissionFactorsTransport_Data(), Table_Fuel_EFs_Transport[[#Headers],[Transport type]], 0)</f>
        <v>67.66</v>
      </c>
      <c r="L28" s="228"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HYPERLINK("#'5.1.1.1-2 Inorganic fert N2O'!A1", "5.1.1.1-2 Inorganic fert N2O")</f>
        <v>5.1.1.1-2 Inorganic fert N2O</v>
      </c>
      <c r="D29" s="228" t="str" cm="1">
        <f t="array" ref="D29">Common_InputFunctions.Utility_DisplayArrayInTable(Fuel_SourceData.Fuel_Scope1Scope3EmissionFactorsTransport_Data(), Table_Fuel_EFs_Transport[[#Headers],[Transport type]], 0)</f>
        <v>Aviation</v>
      </c>
      <c r="E29" s="228" t="str" cm="1">
        <f t="array" ref="E29">Common_InputFunctions.Utility_DisplayArrayInTable(Fuel_SourceData.Fuel_Scope1Scope3EmissionFactorsTransport_Data(), Table_Fuel_EFs_Transport[[#Headers],[Transport type]], 0)</f>
        <v>Kerosene for use as fuel in an aircraft</v>
      </c>
      <c r="F29" s="228" cm="1">
        <f t="array" ref="F29">Common_InputFunctions.Utility_DisplayArrayInTable(Fuel_SourceData.Fuel_Scope1Scope3EmissionFactorsTransport_Data(), Table_Fuel_EFs_Transport[[#Headers],[Transport type]], 0)</f>
        <v>36.799999999999997</v>
      </c>
      <c r="G29" s="228" t="str" cm="1">
        <f t="array" ref="G29">Common_InputFunctions.Utility_DisplayArrayInTable(Fuel_SourceData.Fuel_Scope1Scope3EmissionFactorsTransport_Data(), Table_Fuel_EFs_Transport[[#Headers],[Transport type]], 0)</f>
        <v>kl</v>
      </c>
      <c r="H29" s="228" cm="1">
        <f t="array" ref="H29">Common_InputFunctions.Utility_DisplayArrayInTable(Fuel_SourceData.Fuel_Scope1Scope3EmissionFactorsTransport_Data(), Table_Fuel_EFs_Transport[[#Headers],[Transport type]], 0)</f>
        <v>69.599999999999994</v>
      </c>
      <c r="I29" s="228" cm="1">
        <f t="array" ref="I29">Common_InputFunctions.Utility_DisplayArrayInTable(Fuel_SourceData.Fuel_Scope1Scope3EmissionFactorsTransport_Data(), Table_Fuel_EFs_Transport[[#Headers],[Transport type]], 0)</f>
        <v>0.01</v>
      </c>
      <c r="J29" s="228" cm="1">
        <f t="array" ref="J29">Common_InputFunctions.Utility_DisplayArrayInTable(Fuel_SourceData.Fuel_Scope1Scope3EmissionFactorsTransport_Data(), Table_Fuel_EFs_Transport[[#Headers],[Transport type]], 0)</f>
        <v>0.6</v>
      </c>
      <c r="K29" s="228" cm="1">
        <f t="array" ref="K29">Common_InputFunctions.Utility_DisplayArrayInTable(Fuel_SourceData.Fuel_Scope1Scope3EmissionFactorsTransport_Data(), Table_Fuel_EFs_Transport[[#Headers],[Transport type]], 0)</f>
        <v>70.209999999999994</v>
      </c>
      <c r="L29" s="228"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HYPERLINK("#'5.1.1.3-4 Inorganic fert CO2'!A1", "5.1.1.3-4 Inorganic fert CO2")</f>
        <v>5.1.1.3-4 Inorganic fert CO2</v>
      </c>
      <c r="D30" s="228" t="str" cm="1">
        <f t="array" ref="D30">Common_InputFunctions.Utility_DisplayArrayInTable(Fuel_SourceData.Fuel_Scope1Scope3EmissionFactorsTransport_Data(), Table_Fuel_EFs_Transport[[#Headers],[Transport type]], 0)</f>
        <v>Aviation</v>
      </c>
      <c r="E30" s="228" t="str" cm="1">
        <f t="array" ref="E30">Common_InputFunctions.Utility_DisplayArrayInTable(Fuel_SourceData.Fuel_Scope1Scope3EmissionFactorsTransport_Data(), Table_Fuel_EFs_Transport[[#Headers],[Transport type]], 0)</f>
        <v>Renewable aviation kerosene</v>
      </c>
      <c r="F30" s="228" cm="1">
        <f t="array" ref="F30">Common_InputFunctions.Utility_DisplayArrayInTable(Fuel_SourceData.Fuel_Scope1Scope3EmissionFactorsTransport_Data(), Table_Fuel_EFs_Transport[[#Headers],[Transport type]], 0)</f>
        <v>36.799999999999997</v>
      </c>
      <c r="G30" s="228" t="str" cm="1">
        <f t="array" ref="G30">Common_InputFunctions.Utility_DisplayArrayInTable(Fuel_SourceData.Fuel_Scope1Scope3EmissionFactorsTransport_Data(), Table_Fuel_EFs_Transport[[#Headers],[Transport type]], 0)</f>
        <v>kl</v>
      </c>
      <c r="H30" s="228" cm="1">
        <f t="array" ref="H30">Common_InputFunctions.Utility_DisplayArrayInTable(Fuel_SourceData.Fuel_Scope1Scope3EmissionFactorsTransport_Data(), Table_Fuel_EFs_Transport[[#Headers],[Transport type]], 0)</f>
        <v>0</v>
      </c>
      <c r="I30" s="228" cm="1">
        <f t="array" ref="I30">Common_InputFunctions.Utility_DisplayArrayInTable(Fuel_SourceData.Fuel_Scope1Scope3EmissionFactorsTransport_Data(), Table_Fuel_EFs_Transport[[#Headers],[Transport type]], 0)</f>
        <v>0.01</v>
      </c>
      <c r="J30" s="228" cm="1">
        <f t="array" ref="J30">Common_InputFunctions.Utility_DisplayArrayInTable(Fuel_SourceData.Fuel_Scope1Scope3EmissionFactorsTransport_Data(), Table_Fuel_EFs_Transport[[#Headers],[Transport type]], 0)</f>
        <v>0.6</v>
      </c>
      <c r="K30" s="228" cm="1">
        <f t="array" ref="K30">Common_InputFunctions.Utility_DisplayArrayInTable(Fuel_SourceData.Fuel_Scope1Scope3EmissionFactorsTransport_Data(), Table_Fuel_EFs_Transport[[#Headers],[Transport type]], 0)</f>
        <v>0.61</v>
      </c>
      <c r="L30" s="228"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HYPERLINK("#'5.2.1.1-2 Organic Fert N2O'!A1", "5.2.1.1-2 Organic fert N2O")</f>
        <v>5.2.1.1-2 Organic fert N2O</v>
      </c>
      <c r="D31" s="228" t="str" cm="1">
        <f t="array" ref="D31">Common_InputFunctions.Utility_DisplayArrayInTable(Fuel_SourceData.Fuel_Scope1Scope3EmissionFactorsTransport_Data(), Table_Fuel_EFs_Transport[[#Headers],[Transport type]], 0)</f>
        <v>Vessels</v>
      </c>
      <c r="E31" s="228" t="str" cm="1">
        <f t="array" ref="E31">Common_InputFunctions.Utility_DisplayArrayInTable(Fuel_SourceData.Fuel_Scope1Scope3EmissionFactorsTransport_Data(), Table_Fuel_EFs_Transport[[#Headers],[Transport type]], 0)</f>
        <v>Gasoline</v>
      </c>
      <c r="F31" s="228" cm="1">
        <f t="array" ref="F31">Common_InputFunctions.Utility_DisplayArrayInTable(Fuel_SourceData.Fuel_Scope1Scope3EmissionFactorsTransport_Data(), Table_Fuel_EFs_Transport[[#Headers],[Transport type]], 0)</f>
        <v>34.200000000000003</v>
      </c>
      <c r="G31" s="228" t="str" cm="1">
        <f t="array" ref="G31">Common_InputFunctions.Utility_DisplayArrayInTable(Fuel_SourceData.Fuel_Scope1Scope3EmissionFactorsTransport_Data(), Table_Fuel_EFs_Transport[[#Headers],[Transport type]], 0)</f>
        <v>kL</v>
      </c>
      <c r="H31" s="228" cm="1">
        <f t="array" ref="H31">Common_InputFunctions.Utility_DisplayArrayInTable(Fuel_SourceData.Fuel_Scope1Scope3EmissionFactorsTransport_Data(), Table_Fuel_EFs_Transport[[#Headers],[Transport type]], 0)</f>
        <v>67.400000000000006</v>
      </c>
      <c r="I31" s="228" cm="1">
        <f t="array" ref="I31">Common_InputFunctions.Utility_DisplayArrayInTable(Fuel_SourceData.Fuel_Scope1Scope3EmissionFactorsTransport_Data(), Table_Fuel_EFs_Transport[[#Headers],[Transport type]], 0)</f>
        <v>10.1</v>
      </c>
      <c r="J31" s="228" cm="1">
        <f t="array" ref="J31">Common_InputFunctions.Utility_DisplayArrayInTable(Fuel_SourceData.Fuel_Scope1Scope3EmissionFactorsTransport_Data(), Table_Fuel_EFs_Transport[[#Headers],[Transport type]], 0)</f>
        <v>0.3</v>
      </c>
      <c r="K31" s="228" t="str" cm="1">
        <f t="array" ref="K31">Common_InputFunctions.Utility_DisplayArrayInTable(Fuel_SourceData.Fuel_Scope1Scope3EmissionFactorsTransport_Data(), Table_Fuel_EFs_Transport[[#Headers],[Transport type]], 0)</f>
        <v/>
      </c>
      <c r="L31" s="228"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HYPERLINK("#'5.3.1.1-2 Lime CO2'!A1", "5.3.1.1-2 Lime CO2")</f>
        <v>5.3.1.1-2 Lime CO2</v>
      </c>
      <c r="D32" s="229" t="str" cm="1">
        <f t="array" ref="D32">Common_InputFunctions.Utility_DisplayArrayInTable(Fuel_SourceData.Fuel_Scope1Scope3EmissionFactorsTransport_Data(), Table_Fuel_EFs_Transport[[#Headers],[Transport type]], 0)</f>
        <v>Vessels</v>
      </c>
      <c r="E32" s="229" t="str" cm="1">
        <f t="array" ref="E32">Common_InputFunctions.Utility_DisplayArrayInTable(Fuel_SourceData.Fuel_Scope1Scope3EmissionFactorsTransport_Data(), Table_Fuel_EFs_Transport[[#Headers],[Transport type]], 0)</f>
        <v>Diesel oil</v>
      </c>
      <c r="F32" s="229" cm="1">
        <f t="array" ref="F32">Common_InputFunctions.Utility_DisplayArrayInTable(Fuel_SourceData.Fuel_Scope1Scope3EmissionFactorsTransport_Data(), Table_Fuel_EFs_Transport[[#Headers],[Transport type]], 0)</f>
        <v>38.6</v>
      </c>
      <c r="G32" s="229" t="str" cm="1">
        <f t="array" ref="G32">Common_InputFunctions.Utility_DisplayArrayInTable(Fuel_SourceData.Fuel_Scope1Scope3EmissionFactorsTransport_Data(), Table_Fuel_EFs_Transport[[#Headers],[Transport type]], 0)</f>
        <v>kL</v>
      </c>
      <c r="H32" s="229" cm="1">
        <f t="array" ref="H32">Common_InputFunctions.Utility_DisplayArrayInTable(Fuel_SourceData.Fuel_Scope1Scope3EmissionFactorsTransport_Data(), Table_Fuel_EFs_Transport[[#Headers],[Transport type]], 0)</f>
        <v>69.900000000000006</v>
      </c>
      <c r="I32" s="229" cm="1">
        <f t="array" ref="I32">Common_InputFunctions.Utility_DisplayArrayInTable(Fuel_SourceData.Fuel_Scope1Scope3EmissionFactorsTransport_Data(), Table_Fuel_EFs_Transport[[#Headers],[Transport type]], 0)</f>
        <v>0.2</v>
      </c>
      <c r="J32" s="229" cm="1">
        <f t="array" ref="J32">Common_InputFunctions.Utility_DisplayArrayInTable(Fuel_SourceData.Fuel_Scope1Scope3EmissionFactorsTransport_Data(), Table_Fuel_EFs_Transport[[#Headers],[Transport type]], 0)</f>
        <v>0.5</v>
      </c>
      <c r="K32" s="229" t="str" cm="1">
        <f t="array" ref="K32">Common_InputFunctions.Utility_DisplayArrayInTable(Fuel_SourceData.Fuel_Scope1Scope3EmissionFactorsTransport_Data(), Table_Fuel_EFs_Transport[[#Headers],[Transport type]], 0)</f>
        <v/>
      </c>
      <c r="L32" s="229"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HYPERLINK("#'5.4.1.1-4 Atmos deposition'!A1", "5.4.1.1-4 Atmos. deposition")</f>
        <v>5.4.1.1-4 Atmos. deposition</v>
      </c>
      <c r="D33" s="229" t="str" cm="1">
        <f t="array" ref="D33">Common_InputFunctions.Utility_DisplayArrayInTable(Fuel_SourceData.Fuel_Scope1Scope3EmissionFactorsTransport_Data(), Table_Fuel_EFs_Transport[[#Headers],[Transport type]], 0)</f>
        <v>Vessels</v>
      </c>
      <c r="E33" s="229" t="str" cm="1">
        <f t="array" ref="E33">Common_InputFunctions.Utility_DisplayArrayInTable(Fuel_SourceData.Fuel_Scope1Scope3EmissionFactorsTransport_Data(), Table_Fuel_EFs_Transport[[#Headers],[Transport type]], 0)</f>
        <v>Fuel Oil</v>
      </c>
      <c r="F33" s="229" cm="1">
        <f t="array" ref="F33">Common_InputFunctions.Utility_DisplayArrayInTable(Fuel_SourceData.Fuel_Scope1Scope3EmissionFactorsTransport_Data(), Table_Fuel_EFs_Transport[[#Headers],[Transport type]], 0)</f>
        <v>39.700000000000003</v>
      </c>
      <c r="G33" s="229" t="str" cm="1">
        <f t="array" ref="G33">Common_InputFunctions.Utility_DisplayArrayInTable(Fuel_SourceData.Fuel_Scope1Scope3EmissionFactorsTransport_Data(), Table_Fuel_EFs_Transport[[#Headers],[Transport type]], 0)</f>
        <v>kL</v>
      </c>
      <c r="H33" s="229" cm="1">
        <f t="array" ref="H33">Common_InputFunctions.Utility_DisplayArrayInTable(Fuel_SourceData.Fuel_Scope1Scope3EmissionFactorsTransport_Data(), Table_Fuel_EFs_Transport[[#Headers],[Transport type]], 0)</f>
        <v>73.599999999999994</v>
      </c>
      <c r="I33" s="229" cm="1">
        <f t="array" ref="I33">Common_InputFunctions.Utility_DisplayArrayInTable(Fuel_SourceData.Fuel_Scope1Scope3EmissionFactorsTransport_Data(), Table_Fuel_EFs_Transport[[#Headers],[Transport type]], 0)</f>
        <v>0.2</v>
      </c>
      <c r="J33" s="229" cm="1">
        <f t="array" ref="J33">Common_InputFunctions.Utility_DisplayArrayInTable(Fuel_SourceData.Fuel_Scope1Scope3EmissionFactorsTransport_Data(), Table_Fuel_EFs_Transport[[#Headers],[Transport type]], 0)</f>
        <v>0.5</v>
      </c>
      <c r="K33" s="229" t="str" cm="1">
        <f t="array" ref="K33">Common_InputFunctions.Utility_DisplayArrayInTable(Fuel_SourceData.Fuel_Scope1Scope3EmissionFactorsTransport_Data(), Table_Fuel_EFs_Transport[[#Headers],[Transport type]], 0)</f>
        <v/>
      </c>
      <c r="L33" s="229"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HYPERLINK("#'5.5.1.1-2 Leaching and runoff'!A1", "5.5.1.1-2 Leaching &amp; runoff")</f>
        <v>5.5.1.1-2 Leaching &amp; runoff</v>
      </c>
      <c r="D34" s="229" t="str" cm="1">
        <f t="array" ref="D34">Common_InputFunctions.Utility_DisplayArrayInTable(Fuel_SourceData.Fuel_Scope1Scope3EmissionFactorsTransport_Data(), Table_Fuel_EFs_Transport[[#Headers],[Transport type]], 0)</f>
        <v>Off-road Agriculture and forestry equipment</v>
      </c>
      <c r="E34" s="229" t="str" cm="1">
        <f t="array" ref="E34">Common_InputFunctions.Utility_DisplayArrayInTable(Fuel_SourceData.Fuel_Scope1Scope3EmissionFactorsTransport_Data(), Table_Fuel_EFs_Transport[[#Headers],[Transport type]], 0)</f>
        <v>Diesel oil</v>
      </c>
      <c r="F34" s="229" cm="1">
        <f t="array" ref="F34">Common_InputFunctions.Utility_DisplayArrayInTable(Fuel_SourceData.Fuel_Scope1Scope3EmissionFactorsTransport_Data(), Table_Fuel_EFs_Transport[[#Headers],[Transport type]], 0)</f>
        <v>38.6</v>
      </c>
      <c r="G34" s="229" t="str" cm="1">
        <f t="array" ref="G34">Common_InputFunctions.Utility_DisplayArrayInTable(Fuel_SourceData.Fuel_Scope1Scope3EmissionFactorsTransport_Data(), Table_Fuel_EFs_Transport[[#Headers],[Transport type]], 0)</f>
        <v>kL</v>
      </c>
      <c r="H34" s="229" cm="1">
        <f t="array" ref="H34">Common_InputFunctions.Utility_DisplayArrayInTable(Fuel_SourceData.Fuel_Scope1Scope3EmissionFactorsTransport_Data(), Table_Fuel_EFs_Transport[[#Headers],[Transport type]], 0)</f>
        <v>69.900000000000006</v>
      </c>
      <c r="I34" s="229" cm="1">
        <f t="array" ref="I34">Common_InputFunctions.Utility_DisplayArrayInTable(Fuel_SourceData.Fuel_Scope1Scope3EmissionFactorsTransport_Data(), Table_Fuel_EFs_Transport[[#Headers],[Transport type]], 0)</f>
        <v>0.3</v>
      </c>
      <c r="J34" s="229" cm="1">
        <f t="array" ref="J34">Common_InputFunctions.Utility_DisplayArrayInTable(Fuel_SourceData.Fuel_Scope1Scope3EmissionFactorsTransport_Data(), Table_Fuel_EFs_Transport[[#Headers],[Transport type]], 0)</f>
        <v>0.5</v>
      </c>
      <c r="K34" s="229" t="str" cm="1">
        <f t="array" ref="K34">Common_InputFunctions.Utility_DisplayArrayInTable(Fuel_SourceData.Fuel_Scope1Scope3EmissionFactorsTransport_Data(), Table_Fuel_EFs_Transport[[#Headers],[Transport type]], 0)</f>
        <v/>
      </c>
      <c r="L34" s="229"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HYPERLINK("#'6.2.1.1-2 Pasture residue N2O'!A1", "6.2.1.1-2 Pasture residue N2O")</f>
        <v>6.2.1.1-2 Pasture residue N2O</v>
      </c>
    </row>
    <row r="36" spans="1:12" ht="20.100000000000001" customHeight="1" x14ac:dyDescent="0.25">
      <c r="A36" s="5" t="str">
        <f>HYPERLINK("#'6.3.1.1-2 Leach runoff pasture'!A1", "6.3.1.1-2 Leach &amp; runoff (pasture)")</f>
        <v>6.3.1.1-2 Leach &amp; runoff (pasture)</v>
      </c>
    </row>
    <row r="37" spans="1:12" ht="20.100000000000001" customHeight="1" x14ac:dyDescent="0.25">
      <c r="A37" s="5" t="str">
        <f>HYPERLINK("#'8.1.1.1-2 Transport fuel'!A1", "8.1.1.1-2 Transport fuel")</f>
        <v>8.1.1.1-2 Transport fuel</v>
      </c>
      <c r="D37" s="2" t="str" cm="1">
        <f t="array" ref="D37">Fuel_SourceData.Fuel_Scope1Scope3EmissionFactorsTransportOffRoad_Title()</f>
        <v>Fuel scope 1 and 3 emission factors - Off-road equipment and vessels</v>
      </c>
    </row>
    <row r="38" spans="1:12" ht="20.100000000000001" customHeight="1" x14ac:dyDescent="0.25">
      <c r="A38" s="5" t="str">
        <f>HYPERLINK("#'8.2.1.1-2 Stationary fuel'!A1", "8.2.1.1-2 Stationary fuel")</f>
        <v>8.2.1.1-2 Stationary fuel</v>
      </c>
      <c r="D38" s="27" t="str" cm="1">
        <f t="array" ref="D38">Fuel_SourceData.Fuel_Scope1Scope3EmissionFactorsTransportOffRoad_Source()</f>
        <v>VEERG 2026: Table A.4.2.1</v>
      </c>
    </row>
    <row r="39" spans="1:12" ht="20.100000000000001" customHeight="1" x14ac:dyDescent="0.25">
      <c r="A39" s="5" t="str">
        <f>HYPERLINK("#'14.1.1-2 Purchased electricity'!A1", "14.1.1-2 Purchased electricity")</f>
        <v>14.1.1-2 Purchased electricity</v>
      </c>
      <c r="D39" s="30" t="s">
        <v>764</v>
      </c>
      <c r="E39" s="30" t="s">
        <v>765</v>
      </c>
      <c r="F39" s="30" t="s">
        <v>766</v>
      </c>
      <c r="G39" s="30" t="s">
        <v>767</v>
      </c>
      <c r="H39" s="30" t="s">
        <v>768</v>
      </c>
      <c r="I39" s="30" t="s">
        <v>769</v>
      </c>
      <c r="J39" s="30" t="s">
        <v>770</v>
      </c>
    </row>
    <row r="40" spans="1:12" ht="20.100000000000001" customHeight="1" x14ac:dyDescent="0.25">
      <c r="A40" s="5" t="str">
        <f>HYPERLINK("#'15 Scope 3'!A1", "15 Scope 3")</f>
        <v>15 Scope 3</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HYPERLINK("#'Calcs - Manure sent off-site'!A1", "Calcs - Manure sent off-site")</f>
        <v>Calcs - Manure sent off-site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HYPERLINK("#'10.1.1-2 Solid waste treatment'!A1", "10.1.1-2 Solid waste treatment")</f>
        <v>10.1.1-2 Solid waste treatment</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row r="45" spans="1:12" ht="20.100000000000001" customHeight="1" x14ac:dyDescent="0.25">
      <c r="A45" s="94" t="s">
        <v>1</v>
      </c>
    </row>
    <row r="46" spans="1:12" ht="20.100000000000001" customHeight="1" x14ac:dyDescent="0.25">
      <c r="A46" s="5" t="str">
        <f>HYPERLINK("#'Constants - Pasture Beef'!A1", "Constants - Pasture Beef")</f>
        <v>Constants - Pasture Beef</v>
      </c>
    </row>
    <row r="47" spans="1:12" ht="20.100000000000001" customHeight="1" x14ac:dyDescent="0.25">
      <c r="A47" s="5" t="str">
        <f>HYPERLINK("#'Constants - Ag Residue'!A1", "Constants - Ag residue")</f>
        <v>Constants - Ag residue</v>
      </c>
    </row>
    <row r="48" spans="1:12" ht="20.100000000000001" customHeight="1" x14ac:dyDescent="0.25">
      <c r="A48" s="5" t="str">
        <f>HYPERLINK("#'Constants - Common Livestock'!A1", "Constants - Common Livestock")</f>
        <v>Constants - Common Livestock</v>
      </c>
    </row>
    <row r="49" spans="1:12" ht="20.100000000000001" customHeight="1" x14ac:dyDescent="0.25">
      <c r="A49" s="5" t="str">
        <f>HYPERLINK("#'Constants - Electricity'!A1", "Constants - Electricity")</f>
        <v>Constants - Electricity</v>
      </c>
      <c r="D49" s="2" t="str" cm="1">
        <f t="array" ref="D49">Fuel_SourceData.Fuel_Scope1Scope3EmissionFactorsStationaryLiquid_Title()</f>
        <v>Fuel scope 1 and 3 emission factors - Stationary liquid fuels</v>
      </c>
      <c r="E49" s="178"/>
      <c r="F49" s="178"/>
      <c r="G49" s="178"/>
      <c r="H49" s="178"/>
      <c r="I49" s="178"/>
      <c r="J49" s="178"/>
      <c r="K49" s="178"/>
      <c r="L49" s="178"/>
    </row>
    <row r="50" spans="1:12" ht="20.100000000000001" customHeight="1" x14ac:dyDescent="0.25">
      <c r="A50" s="5" t="str">
        <f>HYPERLINK("#'Constants - Fertiliser'!A1", "Constants - Fertiliser")</f>
        <v>Constants - Fertiliser</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8"/>
      <c r="F50" s="178"/>
      <c r="G50" s="178"/>
      <c r="H50" s="178"/>
      <c r="I50" s="178"/>
      <c r="J50" s="178"/>
      <c r="K50" s="178"/>
      <c r="L50" s="178"/>
    </row>
    <row r="51" spans="1:12" ht="20.100000000000001" customHeight="1" x14ac:dyDescent="0.25">
      <c r="A51" s="128" t="str">
        <f>HYPERLINK("#'Constants - Fuel'!A1", "Constants - Fuel")</f>
        <v>Constants - Fuel</v>
      </c>
      <c r="D51" s="27" t="str" cm="1">
        <f t="array" ref="D51">Fuel_SourceData.Fuel_Scope1Scope3EmissionFactorsStationaryLiquid_Source()</f>
        <v>Australian National Greenhouse Accounts Factors 2025 - Table 8</v>
      </c>
      <c r="E51" s="178"/>
      <c r="F51" s="178"/>
      <c r="G51" s="178"/>
      <c r="H51" s="178"/>
      <c r="I51" s="178"/>
      <c r="J51" s="178"/>
      <c r="K51" s="178"/>
      <c r="L51" s="178"/>
    </row>
    <row r="52" spans="1:12" ht="20.100000000000001" customHeight="1" x14ac:dyDescent="0.25">
      <c r="A52" s="5" t="str">
        <f>HYPERLINK("#'Constants - Scope 3'!A1", "Constants - Scope 3")</f>
        <v>Constants - Scope 3</v>
      </c>
      <c r="D52" s="36" t="str" cm="1">
        <f t="array" ref="D52">"⚠️" &amp; Fuel_SourceData.Fuel_Scope1Scope3EmissionFactorsStationaryLiquid_Variation()</f>
        <v>⚠️VARIATION OF SOURCE DATA: 'NE' values returned as zero for calculations.</v>
      </c>
      <c r="E52" s="178"/>
      <c r="F52" s="178"/>
      <c r="G52" s="178"/>
      <c r="H52" s="178"/>
      <c r="I52" s="178"/>
      <c r="J52" s="178"/>
      <c r="K52" s="178"/>
      <c r="L52" s="178"/>
    </row>
    <row r="53" spans="1:12" ht="20.100000000000001" customHeight="1" x14ac:dyDescent="0.25">
      <c r="A53" s="5" t="str">
        <f>HYPERLINK("#'Constants - Common'!A1", "Constants - Common")</f>
        <v>Constants - Common</v>
      </c>
      <c r="D53" s="196" t="s">
        <v>756</v>
      </c>
      <c r="E53" s="227" t="s">
        <v>757</v>
      </c>
      <c r="F53" s="196" t="s">
        <v>758</v>
      </c>
      <c r="G53" s="227" t="s">
        <v>759</v>
      </c>
      <c r="H53" s="227" t="s">
        <v>760</v>
      </c>
      <c r="I53" s="227" t="s">
        <v>761</v>
      </c>
      <c r="J53" s="227" t="s">
        <v>762</v>
      </c>
      <c r="K53" s="227" t="s">
        <v>763</v>
      </c>
      <c r="L53" s="178"/>
    </row>
    <row r="54" spans="1:12" ht="20.100000000000001" customHeight="1" x14ac:dyDescent="0.25">
      <c r="A54" s="5" t="str">
        <f>HYPERLINK("#'Acknowledgements'!A1", "Acknowledgements")</f>
        <v>Acknowledgements</v>
      </c>
      <c r="D54" s="230"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0" cm="1">
        <f t="array" ref="E54">Common_InputFunctions.Utility_DisplayArrayInTable(Fuel_SourceData.Fuel_Scope1Scope3EmissionFactorsStationaryLiquid_Data(), Table_Fuel_EFs_StationaryLiquid[[#Headers],[Fuel combusted]],0)</f>
        <v>38.799999999999997</v>
      </c>
      <c r="F54" s="230" t="str" cm="1">
        <f t="array" ref="F54">Common_InputFunctions.Utility_DisplayArrayInTable(Fuel_SourceData.Fuel_Scope1Scope3EmissionFactorsStationaryLiquid_Data(), Table_Fuel_EFs_StationaryLiquid[[#Headers],[Fuel combusted]],0)</f>
        <v>kl</v>
      </c>
      <c r="G54" s="230" cm="1">
        <f t="array" ref="G54">Common_InputFunctions.Utility_DisplayArrayInTable(Fuel_SourceData.Fuel_Scope1Scope3EmissionFactorsStationaryLiquid_Data(), Table_Fuel_EFs_StationaryLiquid[[#Headers],[Fuel combusted]],0)</f>
        <v>13.9</v>
      </c>
      <c r="H54" s="230" cm="1">
        <f t="array" ref="H54">Common_InputFunctions.Utility_DisplayArrayInTable(Fuel_SourceData.Fuel_Scope1Scope3EmissionFactorsStationaryLiquid_Data(), Table_Fuel_EFs_StationaryLiquid[[#Headers],[Fuel combusted]],0)</f>
        <v>0</v>
      </c>
      <c r="I54" s="230" cm="1">
        <f t="array" ref="I54">Common_InputFunctions.Utility_DisplayArrayInTable(Fuel_SourceData.Fuel_Scope1Scope3EmissionFactorsStationaryLiquid_Data(), Table_Fuel_EFs_StationaryLiquid[[#Headers],[Fuel combusted]],0)</f>
        <v>0</v>
      </c>
      <c r="J54" s="230" cm="1">
        <f t="array" ref="J54">Common_InputFunctions.Utility_DisplayArrayInTable(Fuel_SourceData.Fuel_Scope1Scope3EmissionFactorsStationaryLiquid_Data(), Table_Fuel_EFs_StationaryLiquid[[#Headers],[Fuel combusted]],0)</f>
        <v>13.9</v>
      </c>
      <c r="K54" s="230" cm="1">
        <f t="array" ref="K54">Common_InputFunctions.Utility_DisplayArrayInTable(Fuel_SourceData.Fuel_Scope1Scope3EmissionFactorsStationaryLiquid_Data(), Table_Fuel_EFs_StationaryLiquid[[#Headers],[Fuel combusted]],0)</f>
        <v>18</v>
      </c>
      <c r="L54" s="178"/>
    </row>
    <row r="55" spans="1:12" ht="20.100000000000001" customHeight="1" x14ac:dyDescent="0.25">
      <c r="A55" s="5" t="str">
        <f>HYPERLINK("#'Constants - Solid Waste'!A1", "Constants - Solid Waste")</f>
        <v>Constants - Solid Waste</v>
      </c>
      <c r="D55" s="230" t="str" cm="1">
        <f t="array" ref="D55">Common_InputFunctions.Utility_DisplayArrayInTable(Fuel_SourceData.Fuel_Scope1Scope3EmissionFactorsStationaryLiquid_Data(), Table_Fuel_EFs_StationaryLiquid[[#Headers],[Fuel combusted]],0)</f>
        <v>Petroleum based greases</v>
      </c>
      <c r="E55" s="230" cm="1">
        <f t="array" ref="E55">Common_InputFunctions.Utility_DisplayArrayInTable(Fuel_SourceData.Fuel_Scope1Scope3EmissionFactorsStationaryLiquid_Data(), Table_Fuel_EFs_StationaryLiquid[[#Headers],[Fuel combusted]],0)</f>
        <v>38.799999999999997</v>
      </c>
      <c r="F55" s="230" t="str" cm="1">
        <f t="array" ref="F55">Common_InputFunctions.Utility_DisplayArrayInTable(Fuel_SourceData.Fuel_Scope1Scope3EmissionFactorsStationaryLiquid_Data(), Table_Fuel_EFs_StationaryLiquid[[#Headers],[Fuel combusted]],0)</f>
        <v>kl</v>
      </c>
      <c r="G55" s="230" cm="1">
        <f t="array" ref="G55">Common_InputFunctions.Utility_DisplayArrayInTable(Fuel_SourceData.Fuel_Scope1Scope3EmissionFactorsStationaryLiquid_Data(), Table_Fuel_EFs_StationaryLiquid[[#Headers],[Fuel combusted]],0)</f>
        <v>3.5</v>
      </c>
      <c r="H55" s="230" cm="1">
        <f t="array" ref="H55">Common_InputFunctions.Utility_DisplayArrayInTable(Fuel_SourceData.Fuel_Scope1Scope3EmissionFactorsStationaryLiquid_Data(), Table_Fuel_EFs_StationaryLiquid[[#Headers],[Fuel combusted]],0)</f>
        <v>0</v>
      </c>
      <c r="I55" s="230" cm="1">
        <f t="array" ref="I55">Common_InputFunctions.Utility_DisplayArrayInTable(Fuel_SourceData.Fuel_Scope1Scope3EmissionFactorsStationaryLiquid_Data(), Table_Fuel_EFs_StationaryLiquid[[#Headers],[Fuel combusted]],0)</f>
        <v>0</v>
      </c>
      <c r="J55" s="230" cm="1">
        <f t="array" ref="J55">Common_InputFunctions.Utility_DisplayArrayInTable(Fuel_SourceData.Fuel_Scope1Scope3EmissionFactorsStationaryLiquid_Data(), Table_Fuel_EFs_StationaryLiquid[[#Headers],[Fuel combusted]],0)</f>
        <v>3.5</v>
      </c>
      <c r="K55" s="230" cm="1">
        <f t="array" ref="K55">Common_InputFunctions.Utility_DisplayArrayInTable(Fuel_SourceData.Fuel_Scope1Scope3EmissionFactorsStationaryLiquid_Data(), Table_Fuel_EFs_StationaryLiquid[[#Headers],[Fuel combusted]],0)</f>
        <v>18</v>
      </c>
      <c r="L55" s="178"/>
    </row>
    <row r="56" spans="1:12" ht="20.100000000000001" customHeight="1" x14ac:dyDescent="0.25">
      <c r="D56" s="230" t="str" cm="1">
        <f t="array" ref="D56">Common_InputFunctions.Utility_DisplayArrayInTable(Fuel_SourceData.Fuel_Scope1Scope3EmissionFactorsStationaryLiquid_Data(), Table_Fuel_EFs_StationaryLiquid[[#Headers],[Fuel combusted]],0)</f>
        <v>Crude oil including crude oil condensates</v>
      </c>
      <c r="E56" s="230" cm="1">
        <f t="array" ref="E56">Common_InputFunctions.Utility_DisplayArrayInTable(Fuel_SourceData.Fuel_Scope1Scope3EmissionFactorsStationaryLiquid_Data(), Table_Fuel_EFs_StationaryLiquid[[#Headers],[Fuel combusted]],0)</f>
        <v>45.3</v>
      </c>
      <c r="F56" s="230" t="str" cm="1">
        <f t="array" ref="F56">Common_InputFunctions.Utility_DisplayArrayInTable(Fuel_SourceData.Fuel_Scope1Scope3EmissionFactorsStationaryLiquid_Data(), Table_Fuel_EFs_StationaryLiquid[[#Headers],[Fuel combusted]],0)</f>
        <v>t</v>
      </c>
      <c r="G56" s="230" cm="1">
        <f t="array" ref="G56">Common_InputFunctions.Utility_DisplayArrayInTable(Fuel_SourceData.Fuel_Scope1Scope3EmissionFactorsStationaryLiquid_Data(), Table_Fuel_EFs_StationaryLiquid[[#Headers],[Fuel combusted]],0)</f>
        <v>69.599999999999994</v>
      </c>
      <c r="H56" s="230" cm="1">
        <f t="array" ref="H56">Common_InputFunctions.Utility_DisplayArrayInTable(Fuel_SourceData.Fuel_Scope1Scope3EmissionFactorsStationaryLiquid_Data(), Table_Fuel_EFs_StationaryLiquid[[#Headers],[Fuel combusted]],0)</f>
        <v>0.08</v>
      </c>
      <c r="I56" s="230" cm="1">
        <f t="array" ref="I56">Common_InputFunctions.Utility_DisplayArrayInTable(Fuel_SourceData.Fuel_Scope1Scope3EmissionFactorsStationaryLiquid_Data(), Table_Fuel_EFs_StationaryLiquid[[#Headers],[Fuel combusted]],0)</f>
        <v>0.2</v>
      </c>
      <c r="J56" s="230" cm="1">
        <f t="array" ref="J56">Common_InputFunctions.Utility_DisplayArrayInTable(Fuel_SourceData.Fuel_Scope1Scope3EmissionFactorsStationaryLiquid_Data(), Table_Fuel_EFs_StationaryLiquid[[#Headers],[Fuel combusted]],0)</f>
        <v>69.88</v>
      </c>
      <c r="K56" s="230" t="str" cm="1">
        <f t="array" ref="K56">Common_InputFunctions.Utility_DisplayArrayInTable(Fuel_SourceData.Fuel_Scope1Scope3EmissionFactorsStationaryLiquid_Data(), Table_Fuel_EFs_StationaryLiquid[[#Headers],[Fuel combusted]],0)</f>
        <v>NE</v>
      </c>
      <c r="L56" s="178"/>
    </row>
    <row r="57" spans="1:12" ht="20.100000000000001" customHeight="1" x14ac:dyDescent="0.25">
      <c r="D57" s="230" t="str" cm="1">
        <f t="array" ref="D57">Common_InputFunctions.Utility_DisplayArrayInTable(Fuel_SourceData.Fuel_Scope1Scope3EmissionFactorsStationaryLiquid_Data(), Table_Fuel_EFs_StationaryLiquid[[#Headers],[Fuel combusted]],0)</f>
        <v>Other natural gas liquids</v>
      </c>
      <c r="E57" s="230" cm="1">
        <f t="array" ref="E57">Common_InputFunctions.Utility_DisplayArrayInTable(Fuel_SourceData.Fuel_Scope1Scope3EmissionFactorsStationaryLiquid_Data(), Table_Fuel_EFs_StationaryLiquid[[#Headers],[Fuel combusted]],0)</f>
        <v>46.5</v>
      </c>
      <c r="F57" s="230" t="str" cm="1">
        <f t="array" ref="F57">Common_InputFunctions.Utility_DisplayArrayInTable(Fuel_SourceData.Fuel_Scope1Scope3EmissionFactorsStationaryLiquid_Data(), Table_Fuel_EFs_StationaryLiquid[[#Headers],[Fuel combusted]],0)</f>
        <v>t</v>
      </c>
      <c r="G57" s="230" cm="1">
        <f t="array" ref="G57">Common_InputFunctions.Utility_DisplayArrayInTable(Fuel_SourceData.Fuel_Scope1Scope3EmissionFactorsStationaryLiquid_Data(), Table_Fuel_EFs_StationaryLiquid[[#Headers],[Fuel combusted]],0)</f>
        <v>61</v>
      </c>
      <c r="H57" s="230" cm="1">
        <f t="array" ref="H57">Common_InputFunctions.Utility_DisplayArrayInTable(Fuel_SourceData.Fuel_Scope1Scope3EmissionFactorsStationaryLiquid_Data(), Table_Fuel_EFs_StationaryLiquid[[#Headers],[Fuel combusted]],0)</f>
        <v>0.08</v>
      </c>
      <c r="I57" s="230" cm="1">
        <f t="array" ref="I57">Common_InputFunctions.Utility_DisplayArrayInTable(Fuel_SourceData.Fuel_Scope1Scope3EmissionFactorsStationaryLiquid_Data(), Table_Fuel_EFs_StationaryLiquid[[#Headers],[Fuel combusted]],0)</f>
        <v>0.2</v>
      </c>
      <c r="J57" s="230" cm="1">
        <f t="array" ref="J57">Common_InputFunctions.Utility_DisplayArrayInTable(Fuel_SourceData.Fuel_Scope1Scope3EmissionFactorsStationaryLiquid_Data(), Table_Fuel_EFs_StationaryLiquid[[#Headers],[Fuel combusted]],0)</f>
        <v>61.28</v>
      </c>
      <c r="K57" s="230" t="str" cm="1">
        <f t="array" ref="K57">Common_InputFunctions.Utility_DisplayArrayInTable(Fuel_SourceData.Fuel_Scope1Scope3EmissionFactorsStationaryLiquid_Data(), Table_Fuel_EFs_StationaryLiquid[[#Headers],[Fuel combusted]],0)</f>
        <v>NE</v>
      </c>
      <c r="L57" s="178"/>
    </row>
    <row r="58" spans="1:12" ht="20.100000000000001" customHeight="1" x14ac:dyDescent="0.25">
      <c r="D58" s="230"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0" cm="1">
        <f t="array" ref="E58">Common_InputFunctions.Utility_DisplayArrayInTable(Fuel_SourceData.Fuel_Scope1Scope3EmissionFactorsStationaryLiquid_Data(), Table_Fuel_EFs_StationaryLiquid[[#Headers],[Fuel combusted]],0)</f>
        <v>34.200000000000003</v>
      </c>
      <c r="F58" s="230" t="str" cm="1">
        <f t="array" ref="F58">Common_InputFunctions.Utility_DisplayArrayInTable(Fuel_SourceData.Fuel_Scope1Scope3EmissionFactorsStationaryLiquid_Data(), Table_Fuel_EFs_StationaryLiquid[[#Headers],[Fuel combusted]],0)</f>
        <v>kL</v>
      </c>
      <c r="G58" s="230" cm="1">
        <f t="array" ref="G58">Common_InputFunctions.Utility_DisplayArrayInTable(Fuel_SourceData.Fuel_Scope1Scope3EmissionFactorsStationaryLiquid_Data(), Table_Fuel_EFs_StationaryLiquid[[#Headers],[Fuel combusted]],0)</f>
        <v>67.400000000000006</v>
      </c>
      <c r="H58" s="230" cm="1">
        <f t="array" ref="H58">Common_InputFunctions.Utility_DisplayArrayInTable(Fuel_SourceData.Fuel_Scope1Scope3EmissionFactorsStationaryLiquid_Data(), Table_Fuel_EFs_StationaryLiquid[[#Headers],[Fuel combusted]],0)</f>
        <v>0.2</v>
      </c>
      <c r="I58" s="230" cm="1">
        <f t="array" ref="I58">Common_InputFunctions.Utility_DisplayArrayInTable(Fuel_SourceData.Fuel_Scope1Scope3EmissionFactorsStationaryLiquid_Data(), Table_Fuel_EFs_StationaryLiquid[[#Headers],[Fuel combusted]],0)</f>
        <v>0.2</v>
      </c>
      <c r="J58" s="230" cm="1">
        <f t="array" ref="J58">Common_InputFunctions.Utility_DisplayArrayInTable(Fuel_SourceData.Fuel_Scope1Scope3EmissionFactorsStationaryLiquid_Data(), Table_Fuel_EFs_StationaryLiquid[[#Headers],[Fuel combusted]],0)</f>
        <v>67.8</v>
      </c>
      <c r="K58" s="230" cm="1">
        <f t="array" ref="K58">Common_InputFunctions.Utility_DisplayArrayInTable(Fuel_SourceData.Fuel_Scope1Scope3EmissionFactorsStationaryLiquid_Data(), Table_Fuel_EFs_StationaryLiquid[[#Headers],[Fuel combusted]],0)</f>
        <v>17.2</v>
      </c>
      <c r="L58" s="178"/>
    </row>
    <row r="59" spans="1:12" ht="20.100000000000001" customHeight="1" x14ac:dyDescent="0.25">
      <c r="D59" s="230" t="str" cm="1">
        <f t="array" ref="D59">Common_InputFunctions.Utility_DisplayArrayInTable(Fuel_SourceData.Fuel_Scope1Scope3EmissionFactorsStationaryLiquid_Data(), Table_Fuel_EFs_StationaryLiquid[[#Headers],[Fuel combusted]],0)</f>
        <v>Aviation gasoline</v>
      </c>
      <c r="E59" s="230" cm="1">
        <f t="array" ref="E59">Common_InputFunctions.Utility_DisplayArrayInTable(Fuel_SourceData.Fuel_Scope1Scope3EmissionFactorsStationaryLiquid_Data(), Table_Fuel_EFs_StationaryLiquid[[#Headers],[Fuel combusted]],0)</f>
        <v>33.1</v>
      </c>
      <c r="F59" s="230" t="str" cm="1">
        <f t="array" ref="F59">Common_InputFunctions.Utility_DisplayArrayInTable(Fuel_SourceData.Fuel_Scope1Scope3EmissionFactorsStationaryLiquid_Data(), Table_Fuel_EFs_StationaryLiquid[[#Headers],[Fuel combusted]],0)</f>
        <v>kL</v>
      </c>
      <c r="G59" s="230" cm="1">
        <f t="array" ref="G59">Common_InputFunctions.Utility_DisplayArrayInTable(Fuel_SourceData.Fuel_Scope1Scope3EmissionFactorsStationaryLiquid_Data(), Table_Fuel_EFs_StationaryLiquid[[#Headers],[Fuel combusted]],0)</f>
        <v>67</v>
      </c>
      <c r="H59" s="230" cm="1">
        <f t="array" ref="H59">Common_InputFunctions.Utility_DisplayArrayInTable(Fuel_SourceData.Fuel_Scope1Scope3EmissionFactorsStationaryLiquid_Data(), Table_Fuel_EFs_StationaryLiquid[[#Headers],[Fuel combusted]],0)</f>
        <v>0.2</v>
      </c>
      <c r="I59" s="230" cm="1">
        <f t="array" ref="I59">Common_InputFunctions.Utility_DisplayArrayInTable(Fuel_SourceData.Fuel_Scope1Scope3EmissionFactorsStationaryLiquid_Data(), Table_Fuel_EFs_StationaryLiquid[[#Headers],[Fuel combusted]],0)</f>
        <v>0.2</v>
      </c>
      <c r="J59" s="230" cm="1">
        <f t="array" ref="J59">Common_InputFunctions.Utility_DisplayArrayInTable(Fuel_SourceData.Fuel_Scope1Scope3EmissionFactorsStationaryLiquid_Data(), Table_Fuel_EFs_StationaryLiquid[[#Headers],[Fuel combusted]],0)</f>
        <v>67.400000000000006</v>
      </c>
      <c r="K59" s="230" cm="1">
        <f t="array" ref="K59">Common_InputFunctions.Utility_DisplayArrayInTable(Fuel_SourceData.Fuel_Scope1Scope3EmissionFactorsStationaryLiquid_Data(), Table_Fuel_EFs_StationaryLiquid[[#Headers],[Fuel combusted]],0)</f>
        <v>18</v>
      </c>
      <c r="L59" s="178"/>
    </row>
    <row r="60" spans="1:12" ht="20.100000000000001" customHeight="1" x14ac:dyDescent="0.25">
      <c r="D60" s="230" t="str" cm="1">
        <f t="array" ref="D60">Common_InputFunctions.Utility_DisplayArrayInTable(Fuel_SourceData.Fuel_Scope1Scope3EmissionFactorsStationaryLiquid_Data(), Table_Fuel_EFs_StationaryLiquid[[#Headers],[Fuel combusted]],0)</f>
        <v>Kerosene (other than for use as fuel in an aircraft)</v>
      </c>
      <c r="E60" s="230" cm="1">
        <f t="array" ref="E60">Common_InputFunctions.Utility_DisplayArrayInTable(Fuel_SourceData.Fuel_Scope1Scope3EmissionFactorsStationaryLiquid_Data(), Table_Fuel_EFs_StationaryLiquid[[#Headers],[Fuel combusted]],0)</f>
        <v>37.5</v>
      </c>
      <c r="F60" s="230" t="str" cm="1">
        <f t="array" ref="F60">Common_InputFunctions.Utility_DisplayArrayInTable(Fuel_SourceData.Fuel_Scope1Scope3EmissionFactorsStationaryLiquid_Data(), Table_Fuel_EFs_StationaryLiquid[[#Headers],[Fuel combusted]],0)</f>
        <v>kL</v>
      </c>
      <c r="G60" s="230" cm="1">
        <f t="array" ref="G60">Common_InputFunctions.Utility_DisplayArrayInTable(Fuel_SourceData.Fuel_Scope1Scope3EmissionFactorsStationaryLiquid_Data(), Table_Fuel_EFs_StationaryLiquid[[#Headers],[Fuel combusted]],0)</f>
        <v>68.900000000000006</v>
      </c>
      <c r="H60" s="230" cm="1">
        <f t="array" ref="H60">Common_InputFunctions.Utility_DisplayArrayInTable(Fuel_SourceData.Fuel_Scope1Scope3EmissionFactorsStationaryLiquid_Data(), Table_Fuel_EFs_StationaryLiquid[[#Headers],[Fuel combusted]],0)</f>
        <v>0.01</v>
      </c>
      <c r="I60" s="230" cm="1">
        <f t="array" ref="I60">Common_InputFunctions.Utility_DisplayArrayInTable(Fuel_SourceData.Fuel_Scope1Scope3EmissionFactorsStationaryLiquid_Data(), Table_Fuel_EFs_StationaryLiquid[[#Headers],[Fuel combusted]],0)</f>
        <v>0.2</v>
      </c>
      <c r="J60" s="230" cm="1">
        <f t="array" ref="J60">Common_InputFunctions.Utility_DisplayArrayInTable(Fuel_SourceData.Fuel_Scope1Scope3EmissionFactorsStationaryLiquid_Data(), Table_Fuel_EFs_StationaryLiquid[[#Headers],[Fuel combusted]],0)</f>
        <v>69.11</v>
      </c>
      <c r="K60" s="230" cm="1">
        <f t="array" ref="K60">Common_InputFunctions.Utility_DisplayArrayInTable(Fuel_SourceData.Fuel_Scope1Scope3EmissionFactorsStationaryLiquid_Data(), Table_Fuel_EFs_StationaryLiquid[[#Headers],[Fuel combusted]],0)</f>
        <v>18</v>
      </c>
      <c r="L60" s="178"/>
    </row>
    <row r="61" spans="1:12" ht="20.100000000000001" customHeight="1" x14ac:dyDescent="0.25">
      <c r="D61" s="230" t="str" cm="1">
        <f t="array" ref="D61">Common_InputFunctions.Utility_DisplayArrayInTable(Fuel_SourceData.Fuel_Scope1Scope3EmissionFactorsStationaryLiquid_Data(), Table_Fuel_EFs_StationaryLiquid[[#Headers],[Fuel combusted]],0)</f>
        <v>Aviation turbine fuel / kerosene</v>
      </c>
      <c r="E61" s="230" cm="1">
        <f t="array" ref="E61">Common_InputFunctions.Utility_DisplayArrayInTable(Fuel_SourceData.Fuel_Scope1Scope3EmissionFactorsStationaryLiquid_Data(), Table_Fuel_EFs_StationaryLiquid[[#Headers],[Fuel combusted]],0)</f>
        <v>36.799999999999997</v>
      </c>
      <c r="F61" s="230" t="str" cm="1">
        <f t="array" ref="F61">Common_InputFunctions.Utility_DisplayArrayInTable(Fuel_SourceData.Fuel_Scope1Scope3EmissionFactorsStationaryLiquid_Data(), Table_Fuel_EFs_StationaryLiquid[[#Headers],[Fuel combusted]],0)</f>
        <v>kL</v>
      </c>
      <c r="G61" s="230" cm="1">
        <f t="array" ref="G61">Common_InputFunctions.Utility_DisplayArrayInTable(Fuel_SourceData.Fuel_Scope1Scope3EmissionFactorsStationaryLiquid_Data(), Table_Fuel_EFs_StationaryLiquid[[#Headers],[Fuel combusted]],0)</f>
        <v>69.599999999999994</v>
      </c>
      <c r="H61" s="230" cm="1">
        <f t="array" ref="H61">Common_InputFunctions.Utility_DisplayArrayInTable(Fuel_SourceData.Fuel_Scope1Scope3EmissionFactorsStationaryLiquid_Data(), Table_Fuel_EFs_StationaryLiquid[[#Headers],[Fuel combusted]],0)</f>
        <v>0.02</v>
      </c>
      <c r="I61" s="230" cm="1">
        <f t="array" ref="I61">Common_InputFunctions.Utility_DisplayArrayInTable(Fuel_SourceData.Fuel_Scope1Scope3EmissionFactorsStationaryLiquid_Data(), Table_Fuel_EFs_StationaryLiquid[[#Headers],[Fuel combusted]],0)</f>
        <v>0.2</v>
      </c>
      <c r="J61" s="230" cm="1">
        <f t="array" ref="J61">Common_InputFunctions.Utility_DisplayArrayInTable(Fuel_SourceData.Fuel_Scope1Scope3EmissionFactorsStationaryLiquid_Data(), Table_Fuel_EFs_StationaryLiquid[[#Headers],[Fuel combusted]],0)</f>
        <v>69.819999999999993</v>
      </c>
      <c r="K61" s="230" cm="1">
        <f t="array" ref="K61">Common_InputFunctions.Utility_DisplayArrayInTable(Fuel_SourceData.Fuel_Scope1Scope3EmissionFactorsStationaryLiquid_Data(), Table_Fuel_EFs_StationaryLiquid[[#Headers],[Fuel combusted]],0)</f>
        <v>18</v>
      </c>
      <c r="L61" s="178"/>
    </row>
    <row r="62" spans="1:12" ht="20.100000000000001" customHeight="1" x14ac:dyDescent="0.25">
      <c r="D62" s="230" t="str" cm="1">
        <f t="array" ref="D62">Common_InputFunctions.Utility_DisplayArrayInTable(Fuel_SourceData.Fuel_Scope1Scope3EmissionFactorsStationaryLiquid_Data(), Table_Fuel_EFs_StationaryLiquid[[#Headers],[Fuel combusted]],0)</f>
        <v>Heating oil</v>
      </c>
      <c r="E62" s="230" cm="1">
        <f t="array" ref="E62">Common_InputFunctions.Utility_DisplayArrayInTable(Fuel_SourceData.Fuel_Scope1Scope3EmissionFactorsStationaryLiquid_Data(), Table_Fuel_EFs_StationaryLiquid[[#Headers],[Fuel combusted]],0)</f>
        <v>37.299999999999997</v>
      </c>
      <c r="F62" s="230" t="str" cm="1">
        <f t="array" ref="F62">Common_InputFunctions.Utility_DisplayArrayInTable(Fuel_SourceData.Fuel_Scope1Scope3EmissionFactorsStationaryLiquid_Data(), Table_Fuel_EFs_StationaryLiquid[[#Headers],[Fuel combusted]],0)</f>
        <v>kL</v>
      </c>
      <c r="G62" s="230" cm="1">
        <f t="array" ref="G62">Common_InputFunctions.Utility_DisplayArrayInTable(Fuel_SourceData.Fuel_Scope1Scope3EmissionFactorsStationaryLiquid_Data(), Table_Fuel_EFs_StationaryLiquid[[#Headers],[Fuel combusted]],0)</f>
        <v>69.5</v>
      </c>
      <c r="H62" s="230" cm="1">
        <f t="array" ref="H62">Common_InputFunctions.Utility_DisplayArrayInTable(Fuel_SourceData.Fuel_Scope1Scope3EmissionFactorsStationaryLiquid_Data(), Table_Fuel_EFs_StationaryLiquid[[#Headers],[Fuel combusted]],0)</f>
        <v>0.03</v>
      </c>
      <c r="I62" s="230" cm="1">
        <f t="array" ref="I62">Common_InputFunctions.Utility_DisplayArrayInTable(Fuel_SourceData.Fuel_Scope1Scope3EmissionFactorsStationaryLiquid_Data(), Table_Fuel_EFs_StationaryLiquid[[#Headers],[Fuel combusted]],0)</f>
        <v>0.2</v>
      </c>
      <c r="J62" s="230" cm="1">
        <f t="array" ref="J62">Common_InputFunctions.Utility_DisplayArrayInTable(Fuel_SourceData.Fuel_Scope1Scope3EmissionFactorsStationaryLiquid_Data(), Table_Fuel_EFs_StationaryLiquid[[#Headers],[Fuel combusted]],0)</f>
        <v>69.73</v>
      </c>
      <c r="K62" s="230" cm="1">
        <f t="array" ref="K62">Common_InputFunctions.Utility_DisplayArrayInTable(Fuel_SourceData.Fuel_Scope1Scope3EmissionFactorsStationaryLiquid_Data(), Table_Fuel_EFs_StationaryLiquid[[#Headers],[Fuel combusted]],0)</f>
        <v>18</v>
      </c>
      <c r="L62" s="178"/>
    </row>
    <row r="63" spans="1:12" ht="20.100000000000001" customHeight="1" x14ac:dyDescent="0.25">
      <c r="D63" s="230" t="str" cm="1">
        <f t="array" ref="D63">Common_InputFunctions.Utility_DisplayArrayInTable(Fuel_SourceData.Fuel_Scope1Scope3EmissionFactorsStationaryLiquid_Data(), Table_Fuel_EFs_StationaryLiquid[[#Headers],[Fuel combusted]],0)</f>
        <v>Diesel oil</v>
      </c>
      <c r="E63" s="230" cm="1">
        <f t="array" ref="E63">Common_InputFunctions.Utility_DisplayArrayInTable(Fuel_SourceData.Fuel_Scope1Scope3EmissionFactorsStationaryLiquid_Data(), Table_Fuel_EFs_StationaryLiquid[[#Headers],[Fuel combusted]],0)</f>
        <v>38.6</v>
      </c>
      <c r="F63" s="230" t="str" cm="1">
        <f t="array" ref="F63">Common_InputFunctions.Utility_DisplayArrayInTable(Fuel_SourceData.Fuel_Scope1Scope3EmissionFactorsStationaryLiquid_Data(), Table_Fuel_EFs_StationaryLiquid[[#Headers],[Fuel combusted]],0)</f>
        <v>kL</v>
      </c>
      <c r="G63" s="230" cm="1">
        <f t="array" ref="G63">Common_InputFunctions.Utility_DisplayArrayInTable(Fuel_SourceData.Fuel_Scope1Scope3EmissionFactorsStationaryLiquid_Data(), Table_Fuel_EFs_StationaryLiquid[[#Headers],[Fuel combusted]],0)</f>
        <v>69.900000000000006</v>
      </c>
      <c r="H63" s="230" cm="1">
        <f t="array" ref="H63">Common_InputFunctions.Utility_DisplayArrayInTable(Fuel_SourceData.Fuel_Scope1Scope3EmissionFactorsStationaryLiquid_Data(), Table_Fuel_EFs_StationaryLiquid[[#Headers],[Fuel combusted]],0)</f>
        <v>0.1</v>
      </c>
      <c r="I63" s="230" cm="1">
        <f t="array" ref="I63">Common_InputFunctions.Utility_DisplayArrayInTable(Fuel_SourceData.Fuel_Scope1Scope3EmissionFactorsStationaryLiquid_Data(), Table_Fuel_EFs_StationaryLiquid[[#Headers],[Fuel combusted]],0)</f>
        <v>0.2</v>
      </c>
      <c r="J63" s="230" cm="1">
        <f t="array" ref="J63">Common_InputFunctions.Utility_DisplayArrayInTable(Fuel_SourceData.Fuel_Scope1Scope3EmissionFactorsStationaryLiquid_Data(), Table_Fuel_EFs_StationaryLiquid[[#Headers],[Fuel combusted]],0)</f>
        <v>70.2</v>
      </c>
      <c r="K63" s="230" cm="1">
        <f t="array" ref="K63">Common_InputFunctions.Utility_DisplayArrayInTable(Fuel_SourceData.Fuel_Scope1Scope3EmissionFactorsStationaryLiquid_Data(), Table_Fuel_EFs_StationaryLiquid[[#Headers],[Fuel combusted]],0)</f>
        <v>17.3</v>
      </c>
      <c r="L63" s="178"/>
    </row>
    <row r="64" spans="1:12" ht="20.100000000000001" customHeight="1" x14ac:dyDescent="0.25">
      <c r="D64" s="230" t="str" cm="1">
        <f t="array" ref="D64">Common_InputFunctions.Utility_DisplayArrayInTable(Fuel_SourceData.Fuel_Scope1Scope3EmissionFactorsStationaryLiquid_Data(), Table_Fuel_EFs_StationaryLiquid[[#Headers],[Fuel combusted]],0)</f>
        <v>Fuel oil</v>
      </c>
      <c r="E64" s="230" cm="1">
        <f t="array" ref="E64">Common_InputFunctions.Utility_DisplayArrayInTable(Fuel_SourceData.Fuel_Scope1Scope3EmissionFactorsStationaryLiquid_Data(), Table_Fuel_EFs_StationaryLiquid[[#Headers],[Fuel combusted]],0)</f>
        <v>39.700000000000003</v>
      </c>
      <c r="F64" s="230" t="str" cm="1">
        <f t="array" ref="F64">Common_InputFunctions.Utility_DisplayArrayInTable(Fuel_SourceData.Fuel_Scope1Scope3EmissionFactorsStationaryLiquid_Data(), Table_Fuel_EFs_StationaryLiquid[[#Headers],[Fuel combusted]],0)</f>
        <v>kL</v>
      </c>
      <c r="G64" s="230" cm="1">
        <f t="array" ref="G64">Common_InputFunctions.Utility_DisplayArrayInTable(Fuel_SourceData.Fuel_Scope1Scope3EmissionFactorsStationaryLiquid_Data(), Table_Fuel_EFs_StationaryLiquid[[#Headers],[Fuel combusted]],0)</f>
        <v>73.599999999999994</v>
      </c>
      <c r="H64" s="230" cm="1">
        <f t="array" ref="H64">Common_InputFunctions.Utility_DisplayArrayInTable(Fuel_SourceData.Fuel_Scope1Scope3EmissionFactorsStationaryLiquid_Data(), Table_Fuel_EFs_StationaryLiquid[[#Headers],[Fuel combusted]],0)</f>
        <v>0.04</v>
      </c>
      <c r="I64" s="230" cm="1">
        <f t="array" ref="I64">Common_InputFunctions.Utility_DisplayArrayInTable(Fuel_SourceData.Fuel_Scope1Scope3EmissionFactorsStationaryLiquid_Data(), Table_Fuel_EFs_StationaryLiquid[[#Headers],[Fuel combusted]],0)</f>
        <v>0.2</v>
      </c>
      <c r="J64" s="230" cm="1">
        <f t="array" ref="J64">Common_InputFunctions.Utility_DisplayArrayInTable(Fuel_SourceData.Fuel_Scope1Scope3EmissionFactorsStationaryLiquid_Data(), Table_Fuel_EFs_StationaryLiquid[[#Headers],[Fuel combusted]],0)</f>
        <v>73.84</v>
      </c>
      <c r="K64" s="230" cm="1">
        <f t="array" ref="K64">Common_InputFunctions.Utility_DisplayArrayInTable(Fuel_SourceData.Fuel_Scope1Scope3EmissionFactorsStationaryLiquid_Data(), Table_Fuel_EFs_StationaryLiquid[[#Headers],[Fuel combusted]],0)</f>
        <v>18</v>
      </c>
      <c r="L64" s="178"/>
    </row>
    <row r="65" spans="4:13" ht="20.100000000000001" customHeight="1" x14ac:dyDescent="0.25">
      <c r="D65" s="230" t="str" cm="1">
        <f t="array" ref="D65">Common_InputFunctions.Utility_DisplayArrayInTable(Fuel_SourceData.Fuel_Scope1Scope3EmissionFactorsStationaryLiquid_Data(), Table_Fuel_EFs_StationaryLiquid[[#Headers],[Fuel combusted]],0)</f>
        <v>Liquefied aromatic hydrocarbons</v>
      </c>
      <c r="E65" s="230" cm="1">
        <f t="array" ref="E65">Common_InputFunctions.Utility_DisplayArrayInTable(Fuel_SourceData.Fuel_Scope1Scope3EmissionFactorsStationaryLiquid_Data(), Table_Fuel_EFs_StationaryLiquid[[#Headers],[Fuel combusted]],0)</f>
        <v>34.4</v>
      </c>
      <c r="F65" s="230" t="str" cm="1">
        <f t="array" ref="F65">Common_InputFunctions.Utility_DisplayArrayInTable(Fuel_SourceData.Fuel_Scope1Scope3EmissionFactorsStationaryLiquid_Data(), Table_Fuel_EFs_StationaryLiquid[[#Headers],[Fuel combusted]],0)</f>
        <v>kL</v>
      </c>
      <c r="G65" s="230" cm="1">
        <f t="array" ref="G65">Common_InputFunctions.Utility_DisplayArrayInTable(Fuel_SourceData.Fuel_Scope1Scope3EmissionFactorsStationaryLiquid_Data(), Table_Fuel_EFs_StationaryLiquid[[#Headers],[Fuel combusted]],0)</f>
        <v>69.7</v>
      </c>
      <c r="H65" s="230" cm="1">
        <f t="array" ref="H65">Common_InputFunctions.Utility_DisplayArrayInTable(Fuel_SourceData.Fuel_Scope1Scope3EmissionFactorsStationaryLiquid_Data(), Table_Fuel_EFs_StationaryLiquid[[#Headers],[Fuel combusted]],0)</f>
        <v>0.03</v>
      </c>
      <c r="I65" s="230" cm="1">
        <f t="array" ref="I65">Common_InputFunctions.Utility_DisplayArrayInTable(Fuel_SourceData.Fuel_Scope1Scope3EmissionFactorsStationaryLiquid_Data(), Table_Fuel_EFs_StationaryLiquid[[#Headers],[Fuel combusted]],0)</f>
        <v>0.2</v>
      </c>
      <c r="J65" s="230" cm="1">
        <f t="array" ref="J65">Common_InputFunctions.Utility_DisplayArrayInTable(Fuel_SourceData.Fuel_Scope1Scope3EmissionFactorsStationaryLiquid_Data(), Table_Fuel_EFs_StationaryLiquid[[#Headers],[Fuel combusted]],0)</f>
        <v>69.930000000000007</v>
      </c>
      <c r="K65" s="230" cm="1">
        <f t="array" ref="K65">Common_InputFunctions.Utility_DisplayArrayInTable(Fuel_SourceData.Fuel_Scope1Scope3EmissionFactorsStationaryLiquid_Data(), Table_Fuel_EFs_StationaryLiquid[[#Headers],[Fuel combusted]],0)</f>
        <v>18</v>
      </c>
      <c r="L65" s="178"/>
    </row>
    <row r="66" spans="4:13" ht="20.100000000000001" customHeight="1" x14ac:dyDescent="0.25">
      <c r="D66" s="230" t="str" cm="1">
        <f t="array" ref="D66">Common_InputFunctions.Utility_DisplayArrayInTable(Fuel_SourceData.Fuel_Scope1Scope3EmissionFactorsStationaryLiquid_Data(), Table_Fuel_EFs_StationaryLiquid[[#Headers],[Fuel combusted]],0)</f>
        <v>Solvents: mineral turpentine or white spirits</v>
      </c>
      <c r="E66" s="230" cm="1">
        <f t="array" ref="E66">Common_InputFunctions.Utility_DisplayArrayInTable(Fuel_SourceData.Fuel_Scope1Scope3EmissionFactorsStationaryLiquid_Data(), Table_Fuel_EFs_StationaryLiquid[[#Headers],[Fuel combusted]],0)</f>
        <v>34.4</v>
      </c>
      <c r="F66" s="230" t="str" cm="1">
        <f t="array" ref="F66">Common_InputFunctions.Utility_DisplayArrayInTable(Fuel_SourceData.Fuel_Scope1Scope3EmissionFactorsStationaryLiquid_Data(), Table_Fuel_EFs_StationaryLiquid[[#Headers],[Fuel combusted]],0)</f>
        <v>kL</v>
      </c>
      <c r="G66" s="230" cm="1">
        <f t="array" ref="G66">Common_InputFunctions.Utility_DisplayArrayInTable(Fuel_SourceData.Fuel_Scope1Scope3EmissionFactorsStationaryLiquid_Data(), Table_Fuel_EFs_StationaryLiquid[[#Headers],[Fuel combusted]],0)</f>
        <v>69.7</v>
      </c>
      <c r="H66" s="230" cm="1">
        <f t="array" ref="H66">Common_InputFunctions.Utility_DisplayArrayInTable(Fuel_SourceData.Fuel_Scope1Scope3EmissionFactorsStationaryLiquid_Data(), Table_Fuel_EFs_StationaryLiquid[[#Headers],[Fuel combusted]],0)</f>
        <v>0.03</v>
      </c>
      <c r="I66" s="230" cm="1">
        <f t="array" ref="I66">Common_InputFunctions.Utility_DisplayArrayInTable(Fuel_SourceData.Fuel_Scope1Scope3EmissionFactorsStationaryLiquid_Data(), Table_Fuel_EFs_StationaryLiquid[[#Headers],[Fuel combusted]],0)</f>
        <v>0.2</v>
      </c>
      <c r="J66" s="230" cm="1">
        <f t="array" ref="J66">Common_InputFunctions.Utility_DisplayArrayInTable(Fuel_SourceData.Fuel_Scope1Scope3EmissionFactorsStationaryLiquid_Data(), Table_Fuel_EFs_StationaryLiquid[[#Headers],[Fuel combusted]],0)</f>
        <v>69.930000000000007</v>
      </c>
      <c r="K66" s="230" cm="1">
        <f t="array" ref="K66">Common_InputFunctions.Utility_DisplayArrayInTable(Fuel_SourceData.Fuel_Scope1Scope3EmissionFactorsStationaryLiquid_Data(), Table_Fuel_EFs_StationaryLiquid[[#Headers],[Fuel combusted]],0)</f>
        <v>18</v>
      </c>
      <c r="L66" s="178"/>
    </row>
    <row r="67" spans="4:13" ht="20.100000000000001" customHeight="1" x14ac:dyDescent="0.25">
      <c r="D67" s="230" t="str" cm="1">
        <f t="array" ref="D67">Common_InputFunctions.Utility_DisplayArrayInTable(Fuel_SourceData.Fuel_Scope1Scope3EmissionFactorsStationaryLiquid_Data(), Table_Fuel_EFs_StationaryLiquid[[#Headers],[Fuel combusted]],0)</f>
        <v>Liquefied petroleum gas (LPG)</v>
      </c>
      <c r="E67" s="230" cm="1">
        <f t="array" ref="E67">Common_InputFunctions.Utility_DisplayArrayInTable(Fuel_SourceData.Fuel_Scope1Scope3EmissionFactorsStationaryLiquid_Data(), Table_Fuel_EFs_StationaryLiquid[[#Headers],[Fuel combusted]],0)</f>
        <v>25.7</v>
      </c>
      <c r="F67" s="230" t="str" cm="1">
        <f t="array" ref="F67">Common_InputFunctions.Utility_DisplayArrayInTable(Fuel_SourceData.Fuel_Scope1Scope3EmissionFactorsStationaryLiquid_Data(), Table_Fuel_EFs_StationaryLiquid[[#Headers],[Fuel combusted]],0)</f>
        <v>kL</v>
      </c>
      <c r="G67" s="230" cm="1">
        <f t="array" ref="G67">Common_InputFunctions.Utility_DisplayArrayInTable(Fuel_SourceData.Fuel_Scope1Scope3EmissionFactorsStationaryLiquid_Data(), Table_Fuel_EFs_StationaryLiquid[[#Headers],[Fuel combusted]],0)</f>
        <v>60.2</v>
      </c>
      <c r="H67" s="230" cm="1">
        <f t="array" ref="H67">Common_InputFunctions.Utility_DisplayArrayInTable(Fuel_SourceData.Fuel_Scope1Scope3EmissionFactorsStationaryLiquid_Data(), Table_Fuel_EFs_StationaryLiquid[[#Headers],[Fuel combusted]],0)</f>
        <v>0.2</v>
      </c>
      <c r="I67" s="230" cm="1">
        <f t="array" ref="I67">Common_InputFunctions.Utility_DisplayArrayInTable(Fuel_SourceData.Fuel_Scope1Scope3EmissionFactorsStationaryLiquid_Data(), Table_Fuel_EFs_StationaryLiquid[[#Headers],[Fuel combusted]],0)</f>
        <v>0.2</v>
      </c>
      <c r="J67" s="230" cm="1">
        <f t="array" ref="J67">Common_InputFunctions.Utility_DisplayArrayInTable(Fuel_SourceData.Fuel_Scope1Scope3EmissionFactorsStationaryLiquid_Data(), Table_Fuel_EFs_StationaryLiquid[[#Headers],[Fuel combusted]],0)</f>
        <v>60.6</v>
      </c>
      <c r="K67" s="230" cm="1">
        <f t="array" ref="K67">Common_InputFunctions.Utility_DisplayArrayInTable(Fuel_SourceData.Fuel_Scope1Scope3EmissionFactorsStationaryLiquid_Data(), Table_Fuel_EFs_StationaryLiquid[[#Headers],[Fuel combusted]],0)</f>
        <v>20.2</v>
      </c>
      <c r="L67" s="178"/>
    </row>
    <row r="68" spans="4:13" ht="20.100000000000001" customHeight="1" x14ac:dyDescent="0.25">
      <c r="D68" s="230" t="str" cm="1">
        <f t="array" ref="D68">Common_InputFunctions.Utility_DisplayArrayInTable(Fuel_SourceData.Fuel_Scope1Scope3EmissionFactorsStationaryLiquid_Data(), Table_Fuel_EFs_StationaryLiquid[[#Headers],[Fuel combusted]],0)</f>
        <v>Naphtha</v>
      </c>
      <c r="E68" s="230" cm="1">
        <f t="array" ref="E68">Common_InputFunctions.Utility_DisplayArrayInTable(Fuel_SourceData.Fuel_Scope1Scope3EmissionFactorsStationaryLiquid_Data(), Table_Fuel_EFs_StationaryLiquid[[#Headers],[Fuel combusted]],0)</f>
        <v>31.4</v>
      </c>
      <c r="F68" s="230" t="str" cm="1">
        <f t="array" ref="F68">Common_InputFunctions.Utility_DisplayArrayInTable(Fuel_SourceData.Fuel_Scope1Scope3EmissionFactorsStationaryLiquid_Data(), Table_Fuel_EFs_StationaryLiquid[[#Headers],[Fuel combusted]],0)</f>
        <v>kL</v>
      </c>
      <c r="G68" s="230" cm="1">
        <f t="array" ref="G68">Common_InputFunctions.Utility_DisplayArrayInTable(Fuel_SourceData.Fuel_Scope1Scope3EmissionFactorsStationaryLiquid_Data(), Table_Fuel_EFs_StationaryLiquid[[#Headers],[Fuel combusted]],0)</f>
        <v>69.8</v>
      </c>
      <c r="H68" s="230" cm="1">
        <f t="array" ref="H68">Common_InputFunctions.Utility_DisplayArrayInTable(Fuel_SourceData.Fuel_Scope1Scope3EmissionFactorsStationaryLiquid_Data(), Table_Fuel_EFs_StationaryLiquid[[#Headers],[Fuel combusted]],0)</f>
        <v>0.01</v>
      </c>
      <c r="I68" s="230" cm="1">
        <f t="array" ref="I68">Common_InputFunctions.Utility_DisplayArrayInTable(Fuel_SourceData.Fuel_Scope1Scope3EmissionFactorsStationaryLiquid_Data(), Table_Fuel_EFs_StationaryLiquid[[#Headers],[Fuel combusted]],0)</f>
        <v>0.01</v>
      </c>
      <c r="J68" s="230" cm="1">
        <f t="array" ref="J68">Common_InputFunctions.Utility_DisplayArrayInTable(Fuel_SourceData.Fuel_Scope1Scope3EmissionFactorsStationaryLiquid_Data(), Table_Fuel_EFs_StationaryLiquid[[#Headers],[Fuel combusted]],0)</f>
        <v>69.819999999999993</v>
      </c>
      <c r="K68" s="230" cm="1">
        <f t="array" ref="K68">Common_InputFunctions.Utility_DisplayArrayInTable(Fuel_SourceData.Fuel_Scope1Scope3EmissionFactorsStationaryLiquid_Data(), Table_Fuel_EFs_StationaryLiquid[[#Headers],[Fuel combusted]],0)</f>
        <v>18</v>
      </c>
      <c r="L68" s="178"/>
    </row>
    <row r="69" spans="4:13" ht="20.100000000000001" customHeight="1" x14ac:dyDescent="0.25">
      <c r="D69" s="230" t="str" cm="1">
        <f t="array" ref="D69">Common_InputFunctions.Utility_DisplayArrayInTable(Fuel_SourceData.Fuel_Scope1Scope3EmissionFactorsStationaryLiquid_Data(), Table_Fuel_EFs_StationaryLiquid[[#Headers],[Fuel combusted]],0)</f>
        <v>Petroleum coke</v>
      </c>
      <c r="E69" s="230" cm="1">
        <f t="array" ref="E69">Common_InputFunctions.Utility_DisplayArrayInTable(Fuel_SourceData.Fuel_Scope1Scope3EmissionFactorsStationaryLiquid_Data(), Table_Fuel_EFs_StationaryLiquid[[#Headers],[Fuel combusted]],0)</f>
        <v>34.200000000000003</v>
      </c>
      <c r="F69" s="230" t="str" cm="1">
        <f t="array" ref="F69">Common_InputFunctions.Utility_DisplayArrayInTable(Fuel_SourceData.Fuel_Scope1Scope3EmissionFactorsStationaryLiquid_Data(), Table_Fuel_EFs_StationaryLiquid[[#Headers],[Fuel combusted]],0)</f>
        <v>t</v>
      </c>
      <c r="G69" s="230" cm="1">
        <f t="array" ref="G69">Common_InputFunctions.Utility_DisplayArrayInTable(Fuel_SourceData.Fuel_Scope1Scope3EmissionFactorsStationaryLiquid_Data(), Table_Fuel_EFs_StationaryLiquid[[#Headers],[Fuel combusted]],0)</f>
        <v>92.6</v>
      </c>
      <c r="H69" s="230" cm="1">
        <f t="array" ref="H69">Common_InputFunctions.Utility_DisplayArrayInTable(Fuel_SourceData.Fuel_Scope1Scope3EmissionFactorsStationaryLiquid_Data(), Table_Fuel_EFs_StationaryLiquid[[#Headers],[Fuel combusted]],0)</f>
        <v>0.08</v>
      </c>
      <c r="I69" s="230" cm="1">
        <f t="array" ref="I69">Common_InputFunctions.Utility_DisplayArrayInTable(Fuel_SourceData.Fuel_Scope1Scope3EmissionFactorsStationaryLiquid_Data(), Table_Fuel_EFs_StationaryLiquid[[#Headers],[Fuel combusted]],0)</f>
        <v>0.2</v>
      </c>
      <c r="J69" s="230" cm="1">
        <f t="array" ref="J69">Common_InputFunctions.Utility_DisplayArrayInTable(Fuel_SourceData.Fuel_Scope1Scope3EmissionFactorsStationaryLiquid_Data(), Table_Fuel_EFs_StationaryLiquid[[#Headers],[Fuel combusted]],0)</f>
        <v>92.88</v>
      </c>
      <c r="K69" s="230" cm="1">
        <f t="array" ref="K69">Common_InputFunctions.Utility_DisplayArrayInTable(Fuel_SourceData.Fuel_Scope1Scope3EmissionFactorsStationaryLiquid_Data(), Table_Fuel_EFs_StationaryLiquid[[#Headers],[Fuel combusted]],0)</f>
        <v>18</v>
      </c>
      <c r="L69" s="178"/>
    </row>
    <row r="70" spans="4:13" ht="20.100000000000001" customHeight="1" x14ac:dyDescent="0.25">
      <c r="D70" s="230" t="str" cm="1">
        <f t="array" ref="D70">Common_InputFunctions.Utility_DisplayArrayInTable(Fuel_SourceData.Fuel_Scope1Scope3EmissionFactorsStationaryLiquid_Data(), Table_Fuel_EFs_StationaryLiquid[[#Headers],[Fuel combusted]],0)</f>
        <v>Refinery gas and liquids</v>
      </c>
      <c r="E70" s="230" cm="1">
        <f t="array" ref="E70">Common_InputFunctions.Utility_DisplayArrayInTable(Fuel_SourceData.Fuel_Scope1Scope3EmissionFactorsStationaryLiquid_Data(), Table_Fuel_EFs_StationaryLiquid[[#Headers],[Fuel combusted]],0)</f>
        <v>42.9</v>
      </c>
      <c r="F70" s="230" t="str" cm="1">
        <f t="array" ref="F70">Common_InputFunctions.Utility_DisplayArrayInTable(Fuel_SourceData.Fuel_Scope1Scope3EmissionFactorsStationaryLiquid_Data(), Table_Fuel_EFs_StationaryLiquid[[#Headers],[Fuel combusted]],0)</f>
        <v>t</v>
      </c>
      <c r="G70" s="230" cm="1">
        <f t="array" ref="G70">Common_InputFunctions.Utility_DisplayArrayInTable(Fuel_SourceData.Fuel_Scope1Scope3EmissionFactorsStationaryLiquid_Data(), Table_Fuel_EFs_StationaryLiquid[[#Headers],[Fuel combusted]],0)</f>
        <v>54.7</v>
      </c>
      <c r="H70" s="230" cm="1">
        <f t="array" ref="H70">Common_InputFunctions.Utility_DisplayArrayInTable(Fuel_SourceData.Fuel_Scope1Scope3EmissionFactorsStationaryLiquid_Data(), Table_Fuel_EFs_StationaryLiquid[[#Headers],[Fuel combusted]],0)</f>
        <v>0.03</v>
      </c>
      <c r="I70" s="230" cm="1">
        <f t="array" ref="I70">Common_InputFunctions.Utility_DisplayArrayInTable(Fuel_SourceData.Fuel_Scope1Scope3EmissionFactorsStationaryLiquid_Data(), Table_Fuel_EFs_StationaryLiquid[[#Headers],[Fuel combusted]],0)</f>
        <v>0.03</v>
      </c>
      <c r="J70" s="230" cm="1">
        <f t="array" ref="J70">Common_InputFunctions.Utility_DisplayArrayInTable(Fuel_SourceData.Fuel_Scope1Scope3EmissionFactorsStationaryLiquid_Data(), Table_Fuel_EFs_StationaryLiquid[[#Headers],[Fuel combusted]],0)</f>
        <v>54.76</v>
      </c>
      <c r="K70" s="230" cm="1">
        <f t="array" ref="K70">Common_InputFunctions.Utility_DisplayArrayInTable(Fuel_SourceData.Fuel_Scope1Scope3EmissionFactorsStationaryLiquid_Data(), Table_Fuel_EFs_StationaryLiquid[[#Headers],[Fuel combusted]],0)</f>
        <v>18</v>
      </c>
      <c r="L70" s="178"/>
    </row>
    <row r="71" spans="4:13" ht="20.100000000000001" customHeight="1" x14ac:dyDescent="0.25">
      <c r="D71" s="230" t="str" cm="1">
        <f t="array" ref="D71">Common_InputFunctions.Utility_DisplayArrayInTable(Fuel_SourceData.Fuel_Scope1Scope3EmissionFactorsStationaryLiquid_Data(), Table_Fuel_EFs_StationaryLiquid[[#Headers],[Fuel combusted]],0)</f>
        <v>Refinery coke</v>
      </c>
      <c r="E71" s="230" cm="1">
        <f t="array" ref="E71">Common_InputFunctions.Utility_DisplayArrayInTable(Fuel_SourceData.Fuel_Scope1Scope3EmissionFactorsStationaryLiquid_Data(), Table_Fuel_EFs_StationaryLiquid[[#Headers],[Fuel combusted]],0)</f>
        <v>34.200000000000003</v>
      </c>
      <c r="F71" s="230" t="str" cm="1">
        <f t="array" ref="F71">Common_InputFunctions.Utility_DisplayArrayInTable(Fuel_SourceData.Fuel_Scope1Scope3EmissionFactorsStationaryLiquid_Data(), Table_Fuel_EFs_StationaryLiquid[[#Headers],[Fuel combusted]],0)</f>
        <v>t</v>
      </c>
      <c r="G71" s="230" cm="1">
        <f t="array" ref="G71">Common_InputFunctions.Utility_DisplayArrayInTable(Fuel_SourceData.Fuel_Scope1Scope3EmissionFactorsStationaryLiquid_Data(), Table_Fuel_EFs_StationaryLiquid[[#Headers],[Fuel combusted]],0)</f>
        <v>92.6</v>
      </c>
      <c r="H71" s="230" cm="1">
        <f t="array" ref="H71">Common_InputFunctions.Utility_DisplayArrayInTable(Fuel_SourceData.Fuel_Scope1Scope3EmissionFactorsStationaryLiquid_Data(), Table_Fuel_EFs_StationaryLiquid[[#Headers],[Fuel combusted]],0)</f>
        <v>0.08</v>
      </c>
      <c r="I71" s="230" cm="1">
        <f t="array" ref="I71">Common_InputFunctions.Utility_DisplayArrayInTable(Fuel_SourceData.Fuel_Scope1Scope3EmissionFactorsStationaryLiquid_Data(), Table_Fuel_EFs_StationaryLiquid[[#Headers],[Fuel combusted]],0)</f>
        <v>0.2</v>
      </c>
      <c r="J71" s="230" cm="1">
        <f t="array" ref="J71">Common_InputFunctions.Utility_DisplayArrayInTable(Fuel_SourceData.Fuel_Scope1Scope3EmissionFactorsStationaryLiquid_Data(), Table_Fuel_EFs_StationaryLiquid[[#Headers],[Fuel combusted]],0)</f>
        <v>92.88</v>
      </c>
      <c r="K71" s="230" cm="1">
        <f t="array" ref="K71">Common_InputFunctions.Utility_DisplayArrayInTable(Fuel_SourceData.Fuel_Scope1Scope3EmissionFactorsStationaryLiquid_Data(), Table_Fuel_EFs_StationaryLiquid[[#Headers],[Fuel combusted]],0)</f>
        <v>18</v>
      </c>
      <c r="L71" s="178"/>
    </row>
    <row r="72" spans="4:13" ht="20.100000000000001" customHeight="1" x14ac:dyDescent="0.25">
      <c r="D72" s="230" t="str" cm="1">
        <f t="array" ref="D72">Common_InputFunctions.Utility_DisplayArrayInTable(Fuel_SourceData.Fuel_Scope1Scope3EmissionFactorsStationaryLiquid_Data(), Table_Fuel_EFs_StationaryLiquid[[#Headers],[Fuel combusted]],0)</f>
        <v>Petroleum based products other than mentioned in the items above</v>
      </c>
      <c r="E72" s="230" cm="1">
        <f t="array" ref="E72">Common_InputFunctions.Utility_DisplayArrayInTable(Fuel_SourceData.Fuel_Scope1Scope3EmissionFactorsStationaryLiquid_Data(), Table_Fuel_EFs_StationaryLiquid[[#Headers],[Fuel combusted]],0)</f>
        <v>34.4</v>
      </c>
      <c r="F72" s="230" t="str" cm="1">
        <f t="array" ref="F72">Common_InputFunctions.Utility_DisplayArrayInTable(Fuel_SourceData.Fuel_Scope1Scope3EmissionFactorsStationaryLiquid_Data(), Table_Fuel_EFs_StationaryLiquid[[#Headers],[Fuel combusted]],0)</f>
        <v>kL</v>
      </c>
      <c r="G72" s="230" cm="1">
        <f t="array" ref="G72">Common_InputFunctions.Utility_DisplayArrayInTable(Fuel_SourceData.Fuel_Scope1Scope3EmissionFactorsStationaryLiquid_Data(), Table_Fuel_EFs_StationaryLiquid[[#Headers],[Fuel combusted]],0)</f>
        <v>69.8</v>
      </c>
      <c r="H72" s="230" cm="1">
        <f t="array" ref="H72">Common_InputFunctions.Utility_DisplayArrayInTable(Fuel_SourceData.Fuel_Scope1Scope3EmissionFactorsStationaryLiquid_Data(), Table_Fuel_EFs_StationaryLiquid[[#Headers],[Fuel combusted]],0)</f>
        <v>0.02</v>
      </c>
      <c r="I72" s="230" cm="1">
        <f t="array" ref="I72">Common_InputFunctions.Utility_DisplayArrayInTable(Fuel_SourceData.Fuel_Scope1Scope3EmissionFactorsStationaryLiquid_Data(), Table_Fuel_EFs_StationaryLiquid[[#Headers],[Fuel combusted]],0)</f>
        <v>0.1</v>
      </c>
      <c r="J72" s="230" cm="1">
        <f t="array" ref="J72">Common_InputFunctions.Utility_DisplayArrayInTable(Fuel_SourceData.Fuel_Scope1Scope3EmissionFactorsStationaryLiquid_Data(), Table_Fuel_EFs_StationaryLiquid[[#Headers],[Fuel combusted]],0)</f>
        <v>69.92</v>
      </c>
      <c r="K72" s="230" cm="1">
        <f t="array" ref="K72">Common_InputFunctions.Utility_DisplayArrayInTable(Fuel_SourceData.Fuel_Scope1Scope3EmissionFactorsStationaryLiquid_Data(), Table_Fuel_EFs_StationaryLiquid[[#Headers],[Fuel combusted]],0)</f>
        <v>18</v>
      </c>
      <c r="L72" s="178"/>
    </row>
    <row r="73" spans="4:13" ht="20.100000000000001" customHeight="1" x14ac:dyDescent="0.25">
      <c r="D73" s="230" t="str" cm="1">
        <f t="array" ref="D73">Common_InputFunctions.Utility_DisplayArrayInTable(Fuel_SourceData.Fuel_Scope1Scope3EmissionFactorsStationaryLiquid_Data(), Table_Fuel_EFs_StationaryLiquid[[#Headers],[Fuel combusted]],0)</f>
        <v>Biodiesel</v>
      </c>
      <c r="E73" s="230" cm="1">
        <f t="array" ref="E73">Common_InputFunctions.Utility_DisplayArrayInTable(Fuel_SourceData.Fuel_Scope1Scope3EmissionFactorsStationaryLiquid_Data(), Table_Fuel_EFs_StationaryLiquid[[#Headers],[Fuel combusted]],0)</f>
        <v>34.6</v>
      </c>
      <c r="F73" s="230" t="str" cm="1">
        <f t="array" ref="F73">Common_InputFunctions.Utility_DisplayArrayInTable(Fuel_SourceData.Fuel_Scope1Scope3EmissionFactorsStationaryLiquid_Data(), Table_Fuel_EFs_StationaryLiquid[[#Headers],[Fuel combusted]],0)</f>
        <v>kL</v>
      </c>
      <c r="G73" s="230" cm="1">
        <f t="array" ref="G73">Common_InputFunctions.Utility_DisplayArrayInTable(Fuel_SourceData.Fuel_Scope1Scope3EmissionFactorsStationaryLiquid_Data(), Table_Fuel_EFs_StationaryLiquid[[#Headers],[Fuel combusted]],0)</f>
        <v>0</v>
      </c>
      <c r="H73" s="230" cm="1">
        <f t="array" ref="H73">Common_InputFunctions.Utility_DisplayArrayInTable(Fuel_SourceData.Fuel_Scope1Scope3EmissionFactorsStationaryLiquid_Data(), Table_Fuel_EFs_StationaryLiquid[[#Headers],[Fuel combusted]],0)</f>
        <v>0.08</v>
      </c>
      <c r="I73" s="230" cm="1">
        <f t="array" ref="I73">Common_InputFunctions.Utility_DisplayArrayInTable(Fuel_SourceData.Fuel_Scope1Scope3EmissionFactorsStationaryLiquid_Data(), Table_Fuel_EFs_StationaryLiquid[[#Headers],[Fuel combusted]],0)</f>
        <v>0.2</v>
      </c>
      <c r="J73" s="230" cm="1">
        <f t="array" ref="J73">Common_InputFunctions.Utility_DisplayArrayInTable(Fuel_SourceData.Fuel_Scope1Scope3EmissionFactorsStationaryLiquid_Data(), Table_Fuel_EFs_StationaryLiquid[[#Headers],[Fuel combusted]],0)</f>
        <v>0.28000000000000003</v>
      </c>
      <c r="K73" s="230" t="str" cm="1">
        <f t="array" ref="K73">Common_InputFunctions.Utility_DisplayArrayInTable(Fuel_SourceData.Fuel_Scope1Scope3EmissionFactorsStationaryLiquid_Data(), Table_Fuel_EFs_StationaryLiquid[[#Headers],[Fuel combusted]],0)</f>
        <v>NE</v>
      </c>
      <c r="L73" s="178"/>
    </row>
    <row r="74" spans="4:13" ht="20.100000000000001" customHeight="1" x14ac:dyDescent="0.25">
      <c r="D74" s="230" t="str" cm="1">
        <f t="array" ref="D74">Common_InputFunctions.Utility_DisplayArrayInTable(Fuel_SourceData.Fuel_Scope1Scope3EmissionFactorsStationaryLiquid_Data(), Table_Fuel_EFs_StationaryLiquid[[#Headers],[Fuel combusted]],0)</f>
        <v>Ethanol for use as a fuel in an internal combustion engine</v>
      </c>
      <c r="E74" s="230" cm="1">
        <f t="array" ref="E74">Common_InputFunctions.Utility_DisplayArrayInTable(Fuel_SourceData.Fuel_Scope1Scope3EmissionFactorsStationaryLiquid_Data(), Table_Fuel_EFs_StationaryLiquid[[#Headers],[Fuel combusted]],0)</f>
        <v>23.4</v>
      </c>
      <c r="F74" s="230" t="str" cm="1">
        <f t="array" ref="F74">Common_InputFunctions.Utility_DisplayArrayInTable(Fuel_SourceData.Fuel_Scope1Scope3EmissionFactorsStationaryLiquid_Data(), Table_Fuel_EFs_StationaryLiquid[[#Headers],[Fuel combusted]],0)</f>
        <v>kL</v>
      </c>
      <c r="G74" s="230" cm="1">
        <f t="array" ref="G74">Common_InputFunctions.Utility_DisplayArrayInTable(Fuel_SourceData.Fuel_Scope1Scope3EmissionFactorsStationaryLiquid_Data(), Table_Fuel_EFs_StationaryLiquid[[#Headers],[Fuel combusted]],0)</f>
        <v>0</v>
      </c>
      <c r="H74" s="230" cm="1">
        <f t="array" ref="H74">Common_InputFunctions.Utility_DisplayArrayInTable(Fuel_SourceData.Fuel_Scope1Scope3EmissionFactorsStationaryLiquid_Data(), Table_Fuel_EFs_StationaryLiquid[[#Headers],[Fuel combusted]],0)</f>
        <v>0.08</v>
      </c>
      <c r="I74" s="230" cm="1">
        <f t="array" ref="I74">Common_InputFunctions.Utility_DisplayArrayInTable(Fuel_SourceData.Fuel_Scope1Scope3EmissionFactorsStationaryLiquid_Data(), Table_Fuel_EFs_StationaryLiquid[[#Headers],[Fuel combusted]],0)</f>
        <v>0.2</v>
      </c>
      <c r="J74" s="230" cm="1">
        <f t="array" ref="J74">Common_InputFunctions.Utility_DisplayArrayInTable(Fuel_SourceData.Fuel_Scope1Scope3EmissionFactorsStationaryLiquid_Data(), Table_Fuel_EFs_StationaryLiquid[[#Headers],[Fuel combusted]],0)</f>
        <v>0.28000000000000003</v>
      </c>
      <c r="K74" s="230" t="str" cm="1">
        <f t="array" ref="K74">Common_InputFunctions.Utility_DisplayArrayInTable(Fuel_SourceData.Fuel_Scope1Scope3EmissionFactorsStationaryLiquid_Data(), Table_Fuel_EFs_StationaryLiquid[[#Headers],[Fuel combusted]],0)</f>
        <v>NE</v>
      </c>
      <c r="L74" s="178"/>
    </row>
    <row r="75" spans="4:13" ht="20.100000000000001" customHeight="1" x14ac:dyDescent="0.25">
      <c r="D75" s="230" t="str" cm="1">
        <f t="array" ref="D75">Common_InputFunctions.Utility_DisplayArrayInTable(Fuel_SourceData.Fuel_Scope1Scope3EmissionFactorsStationaryLiquid_Data(), Table_Fuel_EFs_StationaryLiquid[[#Headers],[Fuel combusted]],0)</f>
        <v>Biofuels other than those mentioned in the items above and below</v>
      </c>
      <c r="E75" s="230" cm="1">
        <f t="array" ref="E75">Common_InputFunctions.Utility_DisplayArrayInTable(Fuel_SourceData.Fuel_Scope1Scope3EmissionFactorsStationaryLiquid_Data(), Table_Fuel_EFs_StationaryLiquid[[#Headers],[Fuel combusted]],0)</f>
        <v>23.4</v>
      </c>
      <c r="F75" s="230" t="str" cm="1">
        <f t="array" ref="F75">Common_InputFunctions.Utility_DisplayArrayInTable(Fuel_SourceData.Fuel_Scope1Scope3EmissionFactorsStationaryLiquid_Data(), Table_Fuel_EFs_StationaryLiquid[[#Headers],[Fuel combusted]],0)</f>
        <v>kL</v>
      </c>
      <c r="G75" s="230" cm="1">
        <f t="array" ref="G75">Common_InputFunctions.Utility_DisplayArrayInTable(Fuel_SourceData.Fuel_Scope1Scope3EmissionFactorsStationaryLiquid_Data(), Table_Fuel_EFs_StationaryLiquid[[#Headers],[Fuel combusted]],0)</f>
        <v>0</v>
      </c>
      <c r="H75" s="230" cm="1">
        <f t="array" ref="H75">Common_InputFunctions.Utility_DisplayArrayInTable(Fuel_SourceData.Fuel_Scope1Scope3EmissionFactorsStationaryLiquid_Data(), Table_Fuel_EFs_StationaryLiquid[[#Headers],[Fuel combusted]],0)</f>
        <v>0.08</v>
      </c>
      <c r="I75" s="230" cm="1">
        <f t="array" ref="I75">Common_InputFunctions.Utility_DisplayArrayInTable(Fuel_SourceData.Fuel_Scope1Scope3EmissionFactorsStationaryLiquid_Data(), Table_Fuel_EFs_StationaryLiquid[[#Headers],[Fuel combusted]],0)</f>
        <v>0.2</v>
      </c>
      <c r="J75" s="230" cm="1">
        <f t="array" ref="J75">Common_InputFunctions.Utility_DisplayArrayInTable(Fuel_SourceData.Fuel_Scope1Scope3EmissionFactorsStationaryLiquid_Data(), Table_Fuel_EFs_StationaryLiquid[[#Headers],[Fuel combusted]],0)</f>
        <v>0.28000000000000003</v>
      </c>
      <c r="K75" s="230" t="str" cm="1">
        <f t="array" ref="K75">Common_InputFunctions.Utility_DisplayArrayInTable(Fuel_SourceData.Fuel_Scope1Scope3EmissionFactorsStationaryLiquid_Data(), Table_Fuel_EFs_StationaryLiquid[[#Headers],[Fuel combusted]],0)</f>
        <v>NE</v>
      </c>
      <c r="L75" s="178"/>
    </row>
    <row r="76" spans="4:13" ht="20.100000000000001" customHeight="1" x14ac:dyDescent="0.25">
      <c r="D76" s="230" t="str" cm="1">
        <f t="array" ref="D76">Common_InputFunctions.Utility_DisplayArrayInTable(Fuel_SourceData.Fuel_Scope1Scope3EmissionFactorsStationaryLiquid_Data(), Table_Fuel_EFs_StationaryLiquid[[#Headers],[Fuel combusted]],0)</f>
        <v>Renewable aviation kerosene</v>
      </c>
      <c r="E76" s="230" cm="1">
        <f t="array" ref="E76">Common_InputFunctions.Utility_DisplayArrayInTable(Fuel_SourceData.Fuel_Scope1Scope3EmissionFactorsStationaryLiquid_Data(), Table_Fuel_EFs_StationaryLiquid[[#Headers],[Fuel combusted]],0)</f>
        <v>36.799999999999997</v>
      </c>
      <c r="F76" s="230" t="str" cm="1">
        <f t="array" ref="F76">Common_InputFunctions.Utility_DisplayArrayInTable(Fuel_SourceData.Fuel_Scope1Scope3EmissionFactorsStationaryLiquid_Data(), Table_Fuel_EFs_StationaryLiquid[[#Headers],[Fuel combusted]],0)</f>
        <v>kL</v>
      </c>
      <c r="G76" s="230" cm="1">
        <f t="array" ref="G76">Common_InputFunctions.Utility_DisplayArrayInTable(Fuel_SourceData.Fuel_Scope1Scope3EmissionFactorsStationaryLiquid_Data(), Table_Fuel_EFs_StationaryLiquid[[#Headers],[Fuel combusted]],0)</f>
        <v>0</v>
      </c>
      <c r="H76" s="230" cm="1">
        <f t="array" ref="H76">Common_InputFunctions.Utility_DisplayArrayInTable(Fuel_SourceData.Fuel_Scope1Scope3EmissionFactorsStationaryLiquid_Data(), Table_Fuel_EFs_StationaryLiquid[[#Headers],[Fuel combusted]],0)</f>
        <v>0.02</v>
      </c>
      <c r="I76" s="230" cm="1">
        <f t="array" ref="I76">Common_InputFunctions.Utility_DisplayArrayInTable(Fuel_SourceData.Fuel_Scope1Scope3EmissionFactorsStationaryLiquid_Data(), Table_Fuel_EFs_StationaryLiquid[[#Headers],[Fuel combusted]],0)</f>
        <v>0.2</v>
      </c>
      <c r="J76" s="230" cm="1">
        <f t="array" ref="J76">Common_InputFunctions.Utility_DisplayArrayInTable(Fuel_SourceData.Fuel_Scope1Scope3EmissionFactorsStationaryLiquid_Data(), Table_Fuel_EFs_StationaryLiquid[[#Headers],[Fuel combusted]],0)</f>
        <v>0.22</v>
      </c>
      <c r="K76" s="230" t="str" cm="1">
        <f t="array" ref="K76">Common_InputFunctions.Utility_DisplayArrayInTable(Fuel_SourceData.Fuel_Scope1Scope3EmissionFactorsStationaryLiquid_Data(), Table_Fuel_EFs_StationaryLiquid[[#Headers],[Fuel combusted]],0)</f>
        <v>NE</v>
      </c>
      <c r="L76" s="178"/>
    </row>
    <row r="77" spans="4:13" ht="20.100000000000001" customHeight="1" x14ac:dyDescent="0.25">
      <c r="D77" s="230" t="str" cm="1">
        <f t="array" ref="D77">Common_InputFunctions.Utility_DisplayArrayInTable(Fuel_SourceData.Fuel_Scope1Scope3EmissionFactorsStationaryLiquid_Data(), Table_Fuel_EFs_StationaryLiquid[[#Headers],[Fuel combusted]],0)</f>
        <v>Renewable diesel</v>
      </c>
      <c r="E77" s="230" cm="1">
        <f t="array" ref="E77">Common_InputFunctions.Utility_DisplayArrayInTable(Fuel_SourceData.Fuel_Scope1Scope3EmissionFactorsStationaryLiquid_Data(), Table_Fuel_EFs_StationaryLiquid[[#Headers],[Fuel combusted]],0)</f>
        <v>38.6</v>
      </c>
      <c r="F77" s="230" t="str" cm="1">
        <f t="array" ref="F77">Common_InputFunctions.Utility_DisplayArrayInTable(Fuel_SourceData.Fuel_Scope1Scope3EmissionFactorsStationaryLiquid_Data(), Table_Fuel_EFs_StationaryLiquid[[#Headers],[Fuel combusted]],0)</f>
        <v>kL</v>
      </c>
      <c r="G77" s="230" cm="1">
        <f t="array" ref="G77">Common_InputFunctions.Utility_DisplayArrayInTable(Fuel_SourceData.Fuel_Scope1Scope3EmissionFactorsStationaryLiquid_Data(), Table_Fuel_EFs_StationaryLiquid[[#Headers],[Fuel combusted]],0)</f>
        <v>0</v>
      </c>
      <c r="H77" s="230" cm="1">
        <f t="array" ref="H77">Common_InputFunctions.Utility_DisplayArrayInTable(Fuel_SourceData.Fuel_Scope1Scope3EmissionFactorsStationaryLiquid_Data(), Table_Fuel_EFs_StationaryLiquid[[#Headers],[Fuel combusted]],0)</f>
        <v>0.1</v>
      </c>
      <c r="I77" s="230" cm="1">
        <f t="array" ref="I77">Common_InputFunctions.Utility_DisplayArrayInTable(Fuel_SourceData.Fuel_Scope1Scope3EmissionFactorsStationaryLiquid_Data(), Table_Fuel_EFs_StationaryLiquid[[#Headers],[Fuel combusted]],0)</f>
        <v>0.2</v>
      </c>
      <c r="J77" s="230" cm="1">
        <f t="array" ref="J77">Common_InputFunctions.Utility_DisplayArrayInTable(Fuel_SourceData.Fuel_Scope1Scope3EmissionFactorsStationaryLiquid_Data(), Table_Fuel_EFs_StationaryLiquid[[#Headers],[Fuel combusted]],0)</f>
        <v>0.3</v>
      </c>
      <c r="K77" s="230" t="str" cm="1">
        <f t="array" ref="K77">Common_InputFunctions.Utility_DisplayArrayInTable(Fuel_SourceData.Fuel_Scope1Scope3EmissionFactorsStationaryLiquid_Data(), Table_Fuel_EFs_StationaryLiquid[[#Headers],[Fuel combusted]],0)</f>
        <v>NE</v>
      </c>
      <c r="L77" s="178"/>
    </row>
    <row r="78" spans="4:13" ht="20.100000000000001" customHeight="1" x14ac:dyDescent="0.25">
      <c r="D78" s="178"/>
      <c r="E78" s="178"/>
      <c r="F78" s="178"/>
      <c r="G78" s="178"/>
      <c r="H78" s="178"/>
      <c r="I78" s="178"/>
      <c r="J78" s="178"/>
      <c r="K78" s="178"/>
      <c r="L78" s="178"/>
    </row>
    <row r="79" spans="4:13" ht="20.100000000000001" customHeight="1" x14ac:dyDescent="0.25">
      <c r="D79" s="178"/>
      <c r="E79" s="178"/>
      <c r="F79" s="178"/>
      <c r="G79" s="178"/>
      <c r="H79" s="178"/>
      <c r="I79" s="178"/>
      <c r="J79" s="178"/>
      <c r="K79" s="178"/>
      <c r="L79" s="178"/>
      <c r="M79" s="178"/>
    </row>
    <row r="80" spans="4:13" ht="20.100000000000001" customHeight="1" x14ac:dyDescent="0.25">
      <c r="D80" s="178"/>
      <c r="E80" s="178"/>
      <c r="F80" s="178"/>
      <c r="G80" s="178"/>
      <c r="H80" s="178"/>
      <c r="I80" s="178"/>
      <c r="J80" s="178"/>
      <c r="K80" s="178"/>
      <c r="L80" s="178"/>
      <c r="M80" s="178"/>
    </row>
    <row r="81" spans="4:12" ht="20.100000000000001" customHeight="1" x14ac:dyDescent="0.25">
      <c r="D81" s="2" t="str" cm="1">
        <f t="array" ref="D81">Fuel_SourceData.Fuel_Scope1EmissionFactorsStationaryGaseous_Title()</f>
        <v>Fuel scope 1 emission factors - Stationary gaseous fuels</v>
      </c>
      <c r="E81" s="178"/>
      <c r="F81" s="178"/>
      <c r="G81" s="178"/>
      <c r="H81" s="178"/>
      <c r="I81" s="178"/>
      <c r="J81" s="178"/>
      <c r="K81" s="178"/>
      <c r="L81" s="17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8"/>
      <c r="F82" s="178"/>
      <c r="G82" s="178"/>
      <c r="H82" s="178"/>
      <c r="I82" s="178"/>
      <c r="J82" s="178"/>
      <c r="K82" s="178"/>
      <c r="L82" s="178"/>
    </row>
    <row r="83" spans="4:12" ht="20.100000000000001" customHeight="1" x14ac:dyDescent="0.25">
      <c r="D83" s="27" t="str" cm="1">
        <f t="array" ref="D83">Fuel_SourceData.Fuel_Scope1EmissionFactorsStationaryGaseous_Source()</f>
        <v>Australian National Greenhouse Accounts Factors 2025 - Table 5</v>
      </c>
      <c r="E83" s="178"/>
      <c r="F83" s="178"/>
      <c r="G83" s="178"/>
      <c r="H83" s="178"/>
      <c r="I83" s="178"/>
      <c r="J83" s="178"/>
      <c r="K83" s="178"/>
      <c r="L83" s="178"/>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8"/>
      <c r="F84" s="178"/>
      <c r="G84" s="178"/>
      <c r="H84" s="178"/>
      <c r="I84" s="178"/>
      <c r="J84" s="178"/>
      <c r="K84" s="178"/>
      <c r="L84" s="178"/>
    </row>
    <row r="85" spans="4:12" ht="20.100000000000001" customHeight="1" x14ac:dyDescent="0.25">
      <c r="D85" s="178"/>
      <c r="E85" s="178"/>
      <c r="F85" s="178"/>
      <c r="G85" s="178"/>
      <c r="H85" s="178"/>
      <c r="I85" s="178"/>
      <c r="J85" s="178"/>
      <c r="K85" s="178"/>
      <c r="L85" s="178"/>
    </row>
    <row r="86" spans="4:12" ht="20.100000000000001" customHeight="1" x14ac:dyDescent="0.25">
      <c r="D86" s="196" t="s">
        <v>756</v>
      </c>
      <c r="E86" s="227" t="s">
        <v>757</v>
      </c>
      <c r="F86" s="196" t="s">
        <v>758</v>
      </c>
      <c r="G86" s="227" t="s">
        <v>759</v>
      </c>
      <c r="H86" s="227" t="s">
        <v>760</v>
      </c>
      <c r="I86" s="227" t="s">
        <v>761</v>
      </c>
      <c r="J86" s="227" t="s">
        <v>762</v>
      </c>
      <c r="K86" s="178"/>
      <c r="L86" s="178"/>
    </row>
    <row r="87" spans="4:12" ht="20.100000000000001" customHeight="1" x14ac:dyDescent="0.25">
      <c r="D87" s="230" t="str" cm="1">
        <f t="array" ref="D87">Common_InputFunctions.Utility_DisplayArrayInTable(Fuel_SourceData.Fuel_Scope1EmissionFactorsStationaryGaseous_Data(), Table_Fuel_EFs_StationaryGaseous[[#Headers],[Fuel combusted]],0)</f>
        <v>Natural gas distributed in a pipeline</v>
      </c>
      <c r="E87" s="230" cm="1">
        <f t="array" ref="E87">Common_InputFunctions.Utility_DisplayArrayInTable(Fuel_SourceData.Fuel_Scope1EmissionFactorsStationaryGaseous_Data(), Table_Fuel_EFs_StationaryGaseous[[#Headers],[Fuel combusted]],0)</f>
        <v>3.9300000000000002E-2</v>
      </c>
      <c r="F87" s="230" t="str" cm="1">
        <f t="array" ref="F87">Common_InputFunctions.Utility_DisplayArrayInTable(Fuel_SourceData.Fuel_Scope1EmissionFactorsStationaryGaseous_Data(), Table_Fuel_EFs_StationaryGaseous[[#Headers],[Fuel combusted]],0)</f>
        <v>m3</v>
      </c>
      <c r="G87" s="230" cm="1">
        <f t="array" ref="G87">Common_InputFunctions.Utility_DisplayArrayInTable(Fuel_SourceData.Fuel_Scope1EmissionFactorsStationaryGaseous_Data(), Table_Fuel_EFs_StationaryGaseous[[#Headers],[Fuel combusted]],0)</f>
        <v>51.4</v>
      </c>
      <c r="H87" s="230" cm="1">
        <f t="array" ref="H87">Common_InputFunctions.Utility_DisplayArrayInTable(Fuel_SourceData.Fuel_Scope1EmissionFactorsStationaryGaseous_Data(), Table_Fuel_EFs_StationaryGaseous[[#Headers],[Fuel combusted]],0)</f>
        <v>0.1</v>
      </c>
      <c r="I87" s="230" cm="1">
        <f t="array" ref="I87">Common_InputFunctions.Utility_DisplayArrayInTable(Fuel_SourceData.Fuel_Scope1EmissionFactorsStationaryGaseous_Data(), Table_Fuel_EFs_StationaryGaseous[[#Headers],[Fuel combusted]],0)</f>
        <v>0.03</v>
      </c>
      <c r="J87" s="230" cm="1">
        <f t="array" ref="J87">Common_InputFunctions.Utility_DisplayArrayInTable(Fuel_SourceData.Fuel_Scope1EmissionFactorsStationaryGaseous_Data(), Table_Fuel_EFs_StationaryGaseous[[#Headers],[Fuel combusted]],0)</f>
        <v>51.53</v>
      </c>
      <c r="K87" s="178"/>
      <c r="L87" s="178"/>
    </row>
    <row r="88" spans="4:12" ht="20.100000000000001" customHeight="1" x14ac:dyDescent="0.25">
      <c r="D88" s="230" t="str" cm="1">
        <f t="array" ref="D88">Common_InputFunctions.Utility_DisplayArrayInTable(Fuel_SourceData.Fuel_Scope1EmissionFactorsStationaryGaseous_Data(), Table_Fuel_EFs_StationaryGaseous[[#Headers],[Fuel combusted]],0)</f>
        <v>Coal seam methane that is captured for combustion</v>
      </c>
      <c r="E88" s="230" cm="1">
        <f t="array" ref="E88">Common_InputFunctions.Utility_DisplayArrayInTable(Fuel_SourceData.Fuel_Scope1EmissionFactorsStationaryGaseous_Data(), Table_Fuel_EFs_StationaryGaseous[[#Headers],[Fuel combusted]],0)</f>
        <v>3.7699999999999997E-2</v>
      </c>
      <c r="F88" s="230" t="str" cm="1">
        <f t="array" ref="F88">Common_InputFunctions.Utility_DisplayArrayInTable(Fuel_SourceData.Fuel_Scope1EmissionFactorsStationaryGaseous_Data(), Table_Fuel_EFs_StationaryGaseous[[#Headers],[Fuel combusted]],0)</f>
        <v>m3</v>
      </c>
      <c r="G88" s="230" cm="1">
        <f t="array" ref="G88">Common_InputFunctions.Utility_DisplayArrayInTable(Fuel_SourceData.Fuel_Scope1EmissionFactorsStationaryGaseous_Data(), Table_Fuel_EFs_StationaryGaseous[[#Headers],[Fuel combusted]],0)</f>
        <v>51.4</v>
      </c>
      <c r="H88" s="230" cm="1">
        <f t="array" ref="H88">Common_InputFunctions.Utility_DisplayArrayInTable(Fuel_SourceData.Fuel_Scope1EmissionFactorsStationaryGaseous_Data(), Table_Fuel_EFs_StationaryGaseous[[#Headers],[Fuel combusted]],0)</f>
        <v>0.2</v>
      </c>
      <c r="I88" s="230" cm="1">
        <f t="array" ref="I88">Common_InputFunctions.Utility_DisplayArrayInTable(Fuel_SourceData.Fuel_Scope1EmissionFactorsStationaryGaseous_Data(), Table_Fuel_EFs_StationaryGaseous[[#Headers],[Fuel combusted]],0)</f>
        <v>0.03</v>
      </c>
      <c r="J88" s="230" cm="1">
        <f t="array" ref="J88">Common_InputFunctions.Utility_DisplayArrayInTable(Fuel_SourceData.Fuel_Scope1EmissionFactorsStationaryGaseous_Data(), Table_Fuel_EFs_StationaryGaseous[[#Headers],[Fuel combusted]],0)</f>
        <v>51.63</v>
      </c>
      <c r="K88" s="178"/>
      <c r="L88" s="178"/>
    </row>
    <row r="89" spans="4:12" ht="20.100000000000001" customHeight="1" x14ac:dyDescent="0.25">
      <c r="D89" s="230" t="str" cm="1">
        <f t="array" ref="D89">Common_InputFunctions.Utility_DisplayArrayInTable(Fuel_SourceData.Fuel_Scope1EmissionFactorsStationaryGaseous_Data(), Table_Fuel_EFs_StationaryGaseous[[#Headers],[Fuel combusted]],0)</f>
        <v>Coal mine waste gas that is captured for combustion</v>
      </c>
      <c r="E89" s="230" cm="1">
        <f t="array" ref="E89">Common_InputFunctions.Utility_DisplayArrayInTable(Fuel_SourceData.Fuel_Scope1EmissionFactorsStationaryGaseous_Data(), Table_Fuel_EFs_StationaryGaseous[[#Headers],[Fuel combusted]],0)</f>
        <v>3.7699999999999997E-2</v>
      </c>
      <c r="F89" s="230" t="str" cm="1">
        <f t="array" ref="F89">Common_InputFunctions.Utility_DisplayArrayInTable(Fuel_SourceData.Fuel_Scope1EmissionFactorsStationaryGaseous_Data(), Table_Fuel_EFs_StationaryGaseous[[#Headers],[Fuel combusted]],0)</f>
        <v>m3</v>
      </c>
      <c r="G89" s="230" cm="1">
        <f t="array" ref="G89">Common_InputFunctions.Utility_DisplayArrayInTable(Fuel_SourceData.Fuel_Scope1EmissionFactorsStationaryGaseous_Data(), Table_Fuel_EFs_StationaryGaseous[[#Headers],[Fuel combusted]],0)</f>
        <v>51.9</v>
      </c>
      <c r="H89" s="230" cm="1">
        <f t="array" ref="H89">Common_InputFunctions.Utility_DisplayArrayInTable(Fuel_SourceData.Fuel_Scope1EmissionFactorsStationaryGaseous_Data(), Table_Fuel_EFs_StationaryGaseous[[#Headers],[Fuel combusted]],0)</f>
        <v>4.5999999999999996</v>
      </c>
      <c r="I89" s="230" cm="1">
        <f t="array" ref="I89">Common_InputFunctions.Utility_DisplayArrayInTable(Fuel_SourceData.Fuel_Scope1EmissionFactorsStationaryGaseous_Data(), Table_Fuel_EFs_StationaryGaseous[[#Headers],[Fuel combusted]],0)</f>
        <v>0.3</v>
      </c>
      <c r="J89" s="230" cm="1">
        <f t="array" ref="J89">Common_InputFunctions.Utility_DisplayArrayInTable(Fuel_SourceData.Fuel_Scope1EmissionFactorsStationaryGaseous_Data(), Table_Fuel_EFs_StationaryGaseous[[#Headers],[Fuel combusted]],0)</f>
        <v>56.8</v>
      </c>
      <c r="K89" s="178"/>
      <c r="L89" s="178"/>
    </row>
    <row r="90" spans="4:12" ht="20.100000000000001" customHeight="1" x14ac:dyDescent="0.25">
      <c r="D90" s="230" t="str" cm="1">
        <f t="array" ref="D90">Common_InputFunctions.Utility_DisplayArrayInTable(Fuel_SourceData.Fuel_Scope1EmissionFactorsStationaryGaseous_Data(), Table_Fuel_EFs_StationaryGaseous[[#Headers],[Fuel combusted]],0)</f>
        <v>Compressed natural gas(reverting to standard conditions)</v>
      </c>
      <c r="E90" s="230" cm="1">
        <f t="array" ref="E90">Common_InputFunctions.Utility_DisplayArrayInTable(Fuel_SourceData.Fuel_Scope1EmissionFactorsStationaryGaseous_Data(), Table_Fuel_EFs_StationaryGaseous[[#Headers],[Fuel combusted]],0)</f>
        <v>3.9300000000000002E-2</v>
      </c>
      <c r="F90" s="230" t="str" cm="1">
        <f t="array" ref="F90">Common_InputFunctions.Utility_DisplayArrayInTable(Fuel_SourceData.Fuel_Scope1EmissionFactorsStationaryGaseous_Data(), Table_Fuel_EFs_StationaryGaseous[[#Headers],[Fuel combusted]],0)</f>
        <v>m3</v>
      </c>
      <c r="G90" s="230" cm="1">
        <f t="array" ref="G90">Common_InputFunctions.Utility_DisplayArrayInTable(Fuel_SourceData.Fuel_Scope1EmissionFactorsStationaryGaseous_Data(), Table_Fuel_EFs_StationaryGaseous[[#Headers],[Fuel combusted]],0)</f>
        <v>51.4</v>
      </c>
      <c r="H90" s="230" cm="1">
        <f t="array" ref="H90">Common_InputFunctions.Utility_DisplayArrayInTable(Fuel_SourceData.Fuel_Scope1EmissionFactorsStationaryGaseous_Data(), Table_Fuel_EFs_StationaryGaseous[[#Headers],[Fuel combusted]],0)</f>
        <v>0.1</v>
      </c>
      <c r="I90" s="230" cm="1">
        <f t="array" ref="I90">Common_InputFunctions.Utility_DisplayArrayInTable(Fuel_SourceData.Fuel_Scope1EmissionFactorsStationaryGaseous_Data(), Table_Fuel_EFs_StationaryGaseous[[#Headers],[Fuel combusted]],0)</f>
        <v>0.03</v>
      </c>
      <c r="J90" s="230" cm="1">
        <f t="array" ref="J90">Common_InputFunctions.Utility_DisplayArrayInTable(Fuel_SourceData.Fuel_Scope1EmissionFactorsStationaryGaseous_Data(), Table_Fuel_EFs_StationaryGaseous[[#Headers],[Fuel combusted]],0)</f>
        <v>51.53</v>
      </c>
      <c r="K90" s="178"/>
      <c r="L90" s="178"/>
    </row>
    <row r="91" spans="4:12" ht="20.100000000000001" customHeight="1" x14ac:dyDescent="0.25">
      <c r="D91" s="230" t="str" cm="1">
        <f t="array" ref="D91">Common_InputFunctions.Utility_DisplayArrayInTable(Fuel_SourceData.Fuel_Scope1EmissionFactorsStationaryGaseous_Data(), Table_Fuel_EFs_StationaryGaseous[[#Headers],[Fuel combusted]],0)</f>
        <v>Unprocessed natural gas</v>
      </c>
      <c r="E91" s="230" cm="1">
        <f t="array" ref="E91">Common_InputFunctions.Utility_DisplayArrayInTable(Fuel_SourceData.Fuel_Scope1EmissionFactorsStationaryGaseous_Data(), Table_Fuel_EFs_StationaryGaseous[[#Headers],[Fuel combusted]],0)</f>
        <v>3.9300000000000002E-2</v>
      </c>
      <c r="F91" s="230" t="str" cm="1">
        <f t="array" ref="F91">Common_InputFunctions.Utility_DisplayArrayInTable(Fuel_SourceData.Fuel_Scope1EmissionFactorsStationaryGaseous_Data(), Table_Fuel_EFs_StationaryGaseous[[#Headers],[Fuel combusted]],0)</f>
        <v>m3</v>
      </c>
      <c r="G91" s="230" cm="1">
        <f t="array" ref="G91">Common_InputFunctions.Utility_DisplayArrayInTable(Fuel_SourceData.Fuel_Scope1EmissionFactorsStationaryGaseous_Data(), Table_Fuel_EFs_StationaryGaseous[[#Headers],[Fuel combusted]],0)</f>
        <v>51.4</v>
      </c>
      <c r="H91" s="230" cm="1">
        <f t="array" ref="H91">Common_InputFunctions.Utility_DisplayArrayInTable(Fuel_SourceData.Fuel_Scope1EmissionFactorsStationaryGaseous_Data(), Table_Fuel_EFs_StationaryGaseous[[#Headers],[Fuel combusted]],0)</f>
        <v>0.1</v>
      </c>
      <c r="I91" s="230" cm="1">
        <f t="array" ref="I91">Common_InputFunctions.Utility_DisplayArrayInTable(Fuel_SourceData.Fuel_Scope1EmissionFactorsStationaryGaseous_Data(), Table_Fuel_EFs_StationaryGaseous[[#Headers],[Fuel combusted]],0)</f>
        <v>0.03</v>
      </c>
      <c r="J91" s="230" cm="1">
        <f t="array" ref="J91">Common_InputFunctions.Utility_DisplayArrayInTable(Fuel_SourceData.Fuel_Scope1EmissionFactorsStationaryGaseous_Data(), Table_Fuel_EFs_StationaryGaseous[[#Headers],[Fuel combusted]],0)</f>
        <v>51.53</v>
      </c>
      <c r="K91" s="178"/>
      <c r="L91" s="178"/>
    </row>
    <row r="92" spans="4:12" ht="20.100000000000001" customHeight="1" x14ac:dyDescent="0.25">
      <c r="D92" s="230" t="str" cm="1">
        <f t="array" ref="D92">Common_InputFunctions.Utility_DisplayArrayInTable(Fuel_SourceData.Fuel_Scope1EmissionFactorsStationaryGaseous_Data(), Table_Fuel_EFs_StationaryGaseous[[#Headers],[Fuel combusted]],0)</f>
        <v>Ethane</v>
      </c>
      <c r="E92" s="230" cm="1">
        <f t="array" ref="E92">Common_InputFunctions.Utility_DisplayArrayInTable(Fuel_SourceData.Fuel_Scope1EmissionFactorsStationaryGaseous_Data(), Table_Fuel_EFs_StationaryGaseous[[#Headers],[Fuel combusted]],0)</f>
        <v>6.2899999999999998E-2</v>
      </c>
      <c r="F92" s="230" t="str" cm="1">
        <f t="array" ref="F92">Common_InputFunctions.Utility_DisplayArrayInTable(Fuel_SourceData.Fuel_Scope1EmissionFactorsStationaryGaseous_Data(), Table_Fuel_EFs_StationaryGaseous[[#Headers],[Fuel combusted]],0)</f>
        <v>m3</v>
      </c>
      <c r="G92" s="230" cm="1">
        <f t="array" ref="G92">Common_InputFunctions.Utility_DisplayArrayInTable(Fuel_SourceData.Fuel_Scope1EmissionFactorsStationaryGaseous_Data(), Table_Fuel_EFs_StationaryGaseous[[#Headers],[Fuel combusted]],0)</f>
        <v>56.5</v>
      </c>
      <c r="H92" s="230" cm="1">
        <f t="array" ref="H92">Common_InputFunctions.Utility_DisplayArrayInTable(Fuel_SourceData.Fuel_Scope1EmissionFactorsStationaryGaseous_Data(), Table_Fuel_EFs_StationaryGaseous[[#Headers],[Fuel combusted]],0)</f>
        <v>0.03</v>
      </c>
      <c r="I92" s="230" cm="1">
        <f t="array" ref="I92">Common_InputFunctions.Utility_DisplayArrayInTable(Fuel_SourceData.Fuel_Scope1EmissionFactorsStationaryGaseous_Data(), Table_Fuel_EFs_StationaryGaseous[[#Headers],[Fuel combusted]],0)</f>
        <v>0.03</v>
      </c>
      <c r="J92" s="230" cm="1">
        <f t="array" ref="J92">Common_InputFunctions.Utility_DisplayArrayInTable(Fuel_SourceData.Fuel_Scope1EmissionFactorsStationaryGaseous_Data(), Table_Fuel_EFs_StationaryGaseous[[#Headers],[Fuel combusted]],0)</f>
        <v>56.56</v>
      </c>
      <c r="K92" s="178"/>
      <c r="L92" s="178"/>
    </row>
    <row r="93" spans="4:12" ht="20.100000000000001" customHeight="1" x14ac:dyDescent="0.25">
      <c r="D93" s="230" t="str" cm="1">
        <f t="array" ref="D93">Common_InputFunctions.Utility_DisplayArrayInTable(Fuel_SourceData.Fuel_Scope1EmissionFactorsStationaryGaseous_Data(), Table_Fuel_EFs_StationaryGaseous[[#Headers],[Fuel combusted]],0)</f>
        <v>Coke oven gas</v>
      </c>
      <c r="E93" s="230" cm="1">
        <f t="array" ref="E93">Common_InputFunctions.Utility_DisplayArrayInTable(Fuel_SourceData.Fuel_Scope1EmissionFactorsStationaryGaseous_Data(), Table_Fuel_EFs_StationaryGaseous[[#Headers],[Fuel combusted]],0)</f>
        <v>1.8100000000000002E-2</v>
      </c>
      <c r="F93" s="230" t="str" cm="1">
        <f t="array" ref="F93">Common_InputFunctions.Utility_DisplayArrayInTable(Fuel_SourceData.Fuel_Scope1EmissionFactorsStationaryGaseous_Data(), Table_Fuel_EFs_StationaryGaseous[[#Headers],[Fuel combusted]],0)</f>
        <v>m3</v>
      </c>
      <c r="G93" s="230" cm="1">
        <f t="array" ref="G93">Common_InputFunctions.Utility_DisplayArrayInTable(Fuel_SourceData.Fuel_Scope1EmissionFactorsStationaryGaseous_Data(), Table_Fuel_EFs_StationaryGaseous[[#Headers],[Fuel combusted]],0)</f>
        <v>37</v>
      </c>
      <c r="H93" s="230" cm="1">
        <f t="array" ref="H93">Common_InputFunctions.Utility_DisplayArrayInTable(Fuel_SourceData.Fuel_Scope1EmissionFactorsStationaryGaseous_Data(), Table_Fuel_EFs_StationaryGaseous[[#Headers],[Fuel combusted]],0)</f>
        <v>0.03</v>
      </c>
      <c r="I93" s="230" cm="1">
        <f t="array" ref="I93">Common_InputFunctions.Utility_DisplayArrayInTable(Fuel_SourceData.Fuel_Scope1EmissionFactorsStationaryGaseous_Data(), Table_Fuel_EFs_StationaryGaseous[[#Headers],[Fuel combusted]],0)</f>
        <v>0.05</v>
      </c>
      <c r="J93" s="230" cm="1">
        <f t="array" ref="J93">Common_InputFunctions.Utility_DisplayArrayInTable(Fuel_SourceData.Fuel_Scope1EmissionFactorsStationaryGaseous_Data(), Table_Fuel_EFs_StationaryGaseous[[#Headers],[Fuel combusted]],0)</f>
        <v>37.08</v>
      </c>
      <c r="K93" s="178"/>
      <c r="L93" s="178"/>
    </row>
    <row r="94" spans="4:12" ht="20.100000000000001" customHeight="1" x14ac:dyDescent="0.25">
      <c r="D94" s="230" t="str" cm="1">
        <f t="array" ref="D94">Common_InputFunctions.Utility_DisplayArrayInTable(Fuel_SourceData.Fuel_Scope1EmissionFactorsStationaryGaseous_Data(), Table_Fuel_EFs_StationaryGaseous[[#Headers],[Fuel combusted]],0)</f>
        <v>Blast furnace gas</v>
      </c>
      <c r="E94" s="230" cm="1">
        <f t="array" ref="E94">Common_InputFunctions.Utility_DisplayArrayInTable(Fuel_SourceData.Fuel_Scope1EmissionFactorsStationaryGaseous_Data(), Table_Fuel_EFs_StationaryGaseous[[#Headers],[Fuel combusted]],0)</f>
        <v>4.0000000000000001E-3</v>
      </c>
      <c r="F94" s="230" t="str" cm="1">
        <f t="array" ref="F94">Common_InputFunctions.Utility_DisplayArrayInTable(Fuel_SourceData.Fuel_Scope1EmissionFactorsStationaryGaseous_Data(), Table_Fuel_EFs_StationaryGaseous[[#Headers],[Fuel combusted]],0)</f>
        <v>m3</v>
      </c>
      <c r="G94" s="230" cm="1">
        <f t="array" ref="G94">Common_InputFunctions.Utility_DisplayArrayInTable(Fuel_SourceData.Fuel_Scope1EmissionFactorsStationaryGaseous_Data(), Table_Fuel_EFs_StationaryGaseous[[#Headers],[Fuel combusted]],0)</f>
        <v>234</v>
      </c>
      <c r="H94" s="230" cm="1">
        <f t="array" ref="H94">Common_InputFunctions.Utility_DisplayArrayInTable(Fuel_SourceData.Fuel_Scope1EmissionFactorsStationaryGaseous_Data(), Table_Fuel_EFs_StationaryGaseous[[#Headers],[Fuel combusted]],0)</f>
        <v>0.03</v>
      </c>
      <c r="I94" s="230" cm="1">
        <f t="array" ref="I94">Common_InputFunctions.Utility_DisplayArrayInTable(Fuel_SourceData.Fuel_Scope1EmissionFactorsStationaryGaseous_Data(), Table_Fuel_EFs_StationaryGaseous[[#Headers],[Fuel combusted]],0)</f>
        <v>0.02</v>
      </c>
      <c r="J94" s="230" cm="1">
        <f t="array" ref="J94">Common_InputFunctions.Utility_DisplayArrayInTable(Fuel_SourceData.Fuel_Scope1EmissionFactorsStationaryGaseous_Data(), Table_Fuel_EFs_StationaryGaseous[[#Headers],[Fuel combusted]],0)</f>
        <v>234.05</v>
      </c>
      <c r="K94" s="178"/>
      <c r="L94" s="178"/>
    </row>
    <row r="95" spans="4:12" ht="20.100000000000001" customHeight="1" x14ac:dyDescent="0.25">
      <c r="D95" s="230" t="str" cm="1">
        <f t="array" ref="D95">Common_InputFunctions.Utility_DisplayArrayInTable(Fuel_SourceData.Fuel_Scope1EmissionFactorsStationaryGaseous_Data(), Table_Fuel_EFs_StationaryGaseous[[#Headers],[Fuel combusted]],0)</f>
        <v>Town gas</v>
      </c>
      <c r="E95" s="230" cm="1">
        <f t="array" ref="E95">Common_InputFunctions.Utility_DisplayArrayInTable(Fuel_SourceData.Fuel_Scope1EmissionFactorsStationaryGaseous_Data(), Table_Fuel_EFs_StationaryGaseous[[#Headers],[Fuel combusted]],0)</f>
        <v>3.9E-2</v>
      </c>
      <c r="F95" s="230" t="str" cm="1">
        <f t="array" ref="F95">Common_InputFunctions.Utility_DisplayArrayInTable(Fuel_SourceData.Fuel_Scope1EmissionFactorsStationaryGaseous_Data(), Table_Fuel_EFs_StationaryGaseous[[#Headers],[Fuel combusted]],0)</f>
        <v>m3</v>
      </c>
      <c r="G95" s="230" cm="1">
        <f t="array" ref="G95">Common_InputFunctions.Utility_DisplayArrayInTable(Fuel_SourceData.Fuel_Scope1EmissionFactorsStationaryGaseous_Data(), Table_Fuel_EFs_StationaryGaseous[[#Headers],[Fuel combusted]],0)</f>
        <v>60.2</v>
      </c>
      <c r="H95" s="230" cm="1">
        <f t="array" ref="H95">Common_InputFunctions.Utility_DisplayArrayInTable(Fuel_SourceData.Fuel_Scope1EmissionFactorsStationaryGaseous_Data(), Table_Fuel_EFs_StationaryGaseous[[#Headers],[Fuel combusted]],0)</f>
        <v>0.04</v>
      </c>
      <c r="I95" s="230" cm="1">
        <f t="array" ref="I95">Common_InputFunctions.Utility_DisplayArrayInTable(Fuel_SourceData.Fuel_Scope1EmissionFactorsStationaryGaseous_Data(), Table_Fuel_EFs_StationaryGaseous[[#Headers],[Fuel combusted]],0)</f>
        <v>0.03</v>
      </c>
      <c r="J95" s="230" cm="1">
        <f t="array" ref="J95">Common_InputFunctions.Utility_DisplayArrayInTable(Fuel_SourceData.Fuel_Scope1EmissionFactorsStationaryGaseous_Data(), Table_Fuel_EFs_StationaryGaseous[[#Headers],[Fuel combusted]],0)</f>
        <v>60.27</v>
      </c>
      <c r="K95" s="178"/>
      <c r="L95" s="178"/>
    </row>
    <row r="96" spans="4:12" ht="20.100000000000001" customHeight="1" x14ac:dyDescent="0.25">
      <c r="D96" s="230" t="str" cm="1">
        <f t="array" ref="D96">Common_InputFunctions.Utility_DisplayArrayInTable(Fuel_SourceData.Fuel_Scope1EmissionFactorsStationaryGaseous_Data(), Table_Fuel_EFs_StationaryGaseous[[#Headers],[Fuel combusted]],0)</f>
        <v>Liquefied natural gas</v>
      </c>
      <c r="E96" s="230" cm="1">
        <f t="array" ref="E96">Common_InputFunctions.Utility_DisplayArrayInTable(Fuel_SourceData.Fuel_Scope1EmissionFactorsStationaryGaseous_Data(), Table_Fuel_EFs_StationaryGaseous[[#Headers],[Fuel combusted]],0)</f>
        <v>25.3</v>
      </c>
      <c r="F96" s="230" t="str" cm="1">
        <f t="array" ref="F96">Common_InputFunctions.Utility_DisplayArrayInTable(Fuel_SourceData.Fuel_Scope1EmissionFactorsStationaryGaseous_Data(), Table_Fuel_EFs_StationaryGaseous[[#Headers],[Fuel combusted]],0)</f>
        <v>kL</v>
      </c>
      <c r="G96" s="230" cm="1">
        <f t="array" ref="G96">Common_InputFunctions.Utility_DisplayArrayInTable(Fuel_SourceData.Fuel_Scope1EmissionFactorsStationaryGaseous_Data(), Table_Fuel_EFs_StationaryGaseous[[#Headers],[Fuel combusted]],0)</f>
        <v>51.4</v>
      </c>
      <c r="H96" s="230" cm="1">
        <f t="array" ref="H96">Common_InputFunctions.Utility_DisplayArrayInTable(Fuel_SourceData.Fuel_Scope1EmissionFactorsStationaryGaseous_Data(), Table_Fuel_EFs_StationaryGaseous[[#Headers],[Fuel combusted]],0)</f>
        <v>0.1</v>
      </c>
      <c r="I96" s="230" cm="1">
        <f t="array" ref="I96">Common_InputFunctions.Utility_DisplayArrayInTable(Fuel_SourceData.Fuel_Scope1EmissionFactorsStationaryGaseous_Data(), Table_Fuel_EFs_StationaryGaseous[[#Headers],[Fuel combusted]],0)</f>
        <v>0.03</v>
      </c>
      <c r="J96" s="230" cm="1">
        <f t="array" ref="J96">Common_InputFunctions.Utility_DisplayArrayInTable(Fuel_SourceData.Fuel_Scope1EmissionFactorsStationaryGaseous_Data(), Table_Fuel_EFs_StationaryGaseous[[#Headers],[Fuel combusted]],0)</f>
        <v>51.53</v>
      </c>
      <c r="K96" s="178"/>
      <c r="L96" s="178"/>
    </row>
    <row r="97" spans="4:13" ht="20.100000000000001" customHeight="1" x14ac:dyDescent="0.25">
      <c r="D97" s="230" t="str" cm="1">
        <f t="array" ref="D97">Common_InputFunctions.Utility_DisplayArrayInTable(Fuel_SourceData.Fuel_Scope1EmissionFactorsStationaryGaseous_Data(), Table_Fuel_EFs_StationaryGaseous[[#Headers],[Fuel combusted]],0)</f>
        <v>Gaseous fossil fuels other than those mentioned in the items above</v>
      </c>
      <c r="E97" s="230" cm="1">
        <f t="array" ref="E97">Common_InputFunctions.Utility_DisplayArrayInTable(Fuel_SourceData.Fuel_Scope1EmissionFactorsStationaryGaseous_Data(), Table_Fuel_EFs_StationaryGaseous[[#Headers],[Fuel combusted]],0)</f>
        <v>3.9E-2</v>
      </c>
      <c r="F97" s="230" t="str" cm="1">
        <f t="array" ref="F97">Common_InputFunctions.Utility_DisplayArrayInTable(Fuel_SourceData.Fuel_Scope1EmissionFactorsStationaryGaseous_Data(), Table_Fuel_EFs_StationaryGaseous[[#Headers],[Fuel combusted]],0)</f>
        <v>m3</v>
      </c>
      <c r="G97" s="230" cm="1">
        <f t="array" ref="G97">Common_InputFunctions.Utility_DisplayArrayInTable(Fuel_SourceData.Fuel_Scope1EmissionFactorsStationaryGaseous_Data(), Table_Fuel_EFs_StationaryGaseous[[#Headers],[Fuel combusted]],0)</f>
        <v>51.4</v>
      </c>
      <c r="H97" s="230" cm="1">
        <f t="array" ref="H97">Common_InputFunctions.Utility_DisplayArrayInTable(Fuel_SourceData.Fuel_Scope1EmissionFactorsStationaryGaseous_Data(), Table_Fuel_EFs_StationaryGaseous[[#Headers],[Fuel combusted]],0)</f>
        <v>0.1</v>
      </c>
      <c r="I97" s="230" cm="1">
        <f t="array" ref="I97">Common_InputFunctions.Utility_DisplayArrayInTable(Fuel_SourceData.Fuel_Scope1EmissionFactorsStationaryGaseous_Data(), Table_Fuel_EFs_StationaryGaseous[[#Headers],[Fuel combusted]],0)</f>
        <v>0.03</v>
      </c>
      <c r="J97" s="230" cm="1">
        <f t="array" ref="J97">Common_InputFunctions.Utility_DisplayArrayInTable(Fuel_SourceData.Fuel_Scope1EmissionFactorsStationaryGaseous_Data(), Table_Fuel_EFs_StationaryGaseous[[#Headers],[Fuel combusted]],0)</f>
        <v>51.53</v>
      </c>
      <c r="K97" s="178"/>
      <c r="L97" s="178"/>
    </row>
    <row r="98" spans="4:13" ht="20.100000000000001" customHeight="1" x14ac:dyDescent="0.25">
      <c r="D98" s="230" t="str" cm="1">
        <f t="array" ref="D98">Common_InputFunctions.Utility_DisplayArrayInTable(Fuel_SourceData.Fuel_Scope1EmissionFactorsStationaryGaseous_Data(), Table_Fuel_EFs_StationaryGaseous[[#Headers],[Fuel combusted]],0)</f>
        <v>Landfill biogas that is captured for combustion (methane only)</v>
      </c>
      <c r="E98" s="230" cm="1">
        <f t="array" ref="E98">Common_InputFunctions.Utility_DisplayArrayInTable(Fuel_SourceData.Fuel_Scope1EmissionFactorsStationaryGaseous_Data(), Table_Fuel_EFs_StationaryGaseous[[#Headers],[Fuel combusted]],0)</f>
        <v>3.7699999999999997E-2</v>
      </c>
      <c r="F98" s="230" t="str" cm="1">
        <f t="array" ref="F98">Common_InputFunctions.Utility_DisplayArrayInTable(Fuel_SourceData.Fuel_Scope1EmissionFactorsStationaryGaseous_Data(), Table_Fuel_EFs_StationaryGaseous[[#Headers],[Fuel combusted]],0)</f>
        <v>m3</v>
      </c>
      <c r="G98" s="230" cm="1">
        <f t="array" ref="G98">Common_InputFunctions.Utility_DisplayArrayInTable(Fuel_SourceData.Fuel_Scope1EmissionFactorsStationaryGaseous_Data(), Table_Fuel_EFs_StationaryGaseous[[#Headers],[Fuel combusted]],0)</f>
        <v>0</v>
      </c>
      <c r="H98" s="230" cm="1">
        <f t="array" ref="H98">Common_InputFunctions.Utility_DisplayArrayInTable(Fuel_SourceData.Fuel_Scope1EmissionFactorsStationaryGaseous_Data(), Table_Fuel_EFs_StationaryGaseous[[#Headers],[Fuel combusted]],0)</f>
        <v>6.4</v>
      </c>
      <c r="I98" s="230" cm="1">
        <f t="array" ref="I98">Common_InputFunctions.Utility_DisplayArrayInTable(Fuel_SourceData.Fuel_Scope1EmissionFactorsStationaryGaseous_Data(), Table_Fuel_EFs_StationaryGaseous[[#Headers],[Fuel combusted]],0)</f>
        <v>0.03</v>
      </c>
      <c r="J98" s="230" cm="1">
        <f t="array" ref="J98">Common_InputFunctions.Utility_DisplayArrayInTable(Fuel_SourceData.Fuel_Scope1EmissionFactorsStationaryGaseous_Data(), Table_Fuel_EFs_StationaryGaseous[[#Headers],[Fuel combusted]],0)</f>
        <v>6.43</v>
      </c>
      <c r="K98" s="178"/>
      <c r="L98" s="178"/>
    </row>
    <row r="99" spans="4:13" ht="20.100000000000001" customHeight="1" x14ac:dyDescent="0.25">
      <c r="D99" s="230" t="str" cm="1">
        <f t="array" ref="D99">Common_InputFunctions.Utility_DisplayArrayInTable(Fuel_SourceData.Fuel_Scope1EmissionFactorsStationaryGaseous_Data(), Table_Fuel_EFs_StationaryGaseous[[#Headers],[Fuel combusted]],0)</f>
        <v>Sludge biogas that is captured for combustion (methane only)</v>
      </c>
      <c r="E99" s="230" cm="1">
        <f t="array" ref="E99">Common_InputFunctions.Utility_DisplayArrayInTable(Fuel_SourceData.Fuel_Scope1EmissionFactorsStationaryGaseous_Data(), Table_Fuel_EFs_StationaryGaseous[[#Headers],[Fuel combusted]],0)</f>
        <v>3.7699999999999997E-2</v>
      </c>
      <c r="F99" s="230" t="str" cm="1">
        <f t="array" ref="F99">Common_InputFunctions.Utility_DisplayArrayInTable(Fuel_SourceData.Fuel_Scope1EmissionFactorsStationaryGaseous_Data(), Table_Fuel_EFs_StationaryGaseous[[#Headers],[Fuel combusted]],0)</f>
        <v>m3</v>
      </c>
      <c r="G99" s="230" cm="1">
        <f t="array" ref="G99">Common_InputFunctions.Utility_DisplayArrayInTable(Fuel_SourceData.Fuel_Scope1EmissionFactorsStationaryGaseous_Data(), Table_Fuel_EFs_StationaryGaseous[[#Headers],[Fuel combusted]],0)</f>
        <v>0</v>
      </c>
      <c r="H99" s="230" cm="1">
        <f t="array" ref="H99">Common_InputFunctions.Utility_DisplayArrayInTable(Fuel_SourceData.Fuel_Scope1EmissionFactorsStationaryGaseous_Data(), Table_Fuel_EFs_StationaryGaseous[[#Headers],[Fuel combusted]],0)</f>
        <v>6.4</v>
      </c>
      <c r="I99" s="230" cm="1">
        <f t="array" ref="I99">Common_InputFunctions.Utility_DisplayArrayInTable(Fuel_SourceData.Fuel_Scope1EmissionFactorsStationaryGaseous_Data(), Table_Fuel_EFs_StationaryGaseous[[#Headers],[Fuel combusted]],0)</f>
        <v>0.03</v>
      </c>
      <c r="J99" s="230" cm="1">
        <f t="array" ref="J99">Common_InputFunctions.Utility_DisplayArrayInTable(Fuel_SourceData.Fuel_Scope1EmissionFactorsStationaryGaseous_Data(), Table_Fuel_EFs_StationaryGaseous[[#Headers],[Fuel combusted]],0)</f>
        <v>6.43</v>
      </c>
      <c r="K99" s="178"/>
      <c r="L99" s="178"/>
    </row>
    <row r="100" spans="4:13" ht="20.100000000000001" customHeight="1" x14ac:dyDescent="0.25">
      <c r="D100" s="230"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0" cm="1">
        <f t="array" ref="E100">Common_InputFunctions.Utility_DisplayArrayInTable(Fuel_SourceData.Fuel_Scope1EmissionFactorsStationaryGaseous_Data(), Table_Fuel_EFs_StationaryGaseous[[#Headers],[Fuel combusted]],0)</f>
        <v>3.6999999999999998E-2</v>
      </c>
      <c r="F100" s="230" t="str" cm="1">
        <f t="array" ref="F100">Common_InputFunctions.Utility_DisplayArrayInTable(Fuel_SourceData.Fuel_Scope1EmissionFactorsStationaryGaseous_Data(), Table_Fuel_EFs_StationaryGaseous[[#Headers],[Fuel combusted]],0)</f>
        <v>m3</v>
      </c>
      <c r="G100" s="230" cm="1">
        <f t="array" ref="G100">Common_InputFunctions.Utility_DisplayArrayInTable(Fuel_SourceData.Fuel_Scope1EmissionFactorsStationaryGaseous_Data(), Table_Fuel_EFs_StationaryGaseous[[#Headers],[Fuel combusted]],0)</f>
        <v>0</v>
      </c>
      <c r="H100" s="230" cm="1">
        <f t="array" ref="H100">Common_InputFunctions.Utility_DisplayArrayInTable(Fuel_SourceData.Fuel_Scope1EmissionFactorsStationaryGaseous_Data(), Table_Fuel_EFs_StationaryGaseous[[#Headers],[Fuel combusted]],0)</f>
        <v>6.4</v>
      </c>
      <c r="I100" s="230" cm="1">
        <f t="array" ref="I100">Common_InputFunctions.Utility_DisplayArrayInTable(Fuel_SourceData.Fuel_Scope1EmissionFactorsStationaryGaseous_Data(), Table_Fuel_EFs_StationaryGaseous[[#Headers],[Fuel combusted]],0)</f>
        <v>0.03</v>
      </c>
      <c r="J100" s="230" cm="1">
        <f t="array" ref="J100">Common_InputFunctions.Utility_DisplayArrayInTable(Fuel_SourceData.Fuel_Scope1EmissionFactorsStationaryGaseous_Data(), Table_Fuel_EFs_StationaryGaseous[[#Headers],[Fuel combusted]],0)</f>
        <v>6.43</v>
      </c>
      <c r="K100" s="178"/>
      <c r="L100" s="178"/>
    </row>
    <row r="101" spans="4:13" ht="20.100000000000001" customHeight="1" x14ac:dyDescent="0.25">
      <c r="D101" s="230" t="str" cm="1">
        <f t="array" ref="D101">Common_InputFunctions.Utility_DisplayArrayInTable(Fuel_SourceData.Fuel_Scope1EmissionFactorsStationaryGaseous_Data(), Table_Fuel_EFs_StationaryGaseous[[#Headers],[Fuel combusted]],0)</f>
        <v>Biomethane</v>
      </c>
      <c r="E101" s="230" cm="1">
        <f t="array" ref="E101">Common_InputFunctions.Utility_DisplayArrayInTable(Fuel_SourceData.Fuel_Scope1EmissionFactorsStationaryGaseous_Data(), Table_Fuel_EFs_StationaryGaseous[[#Headers],[Fuel combusted]],0)</f>
        <v>3.9300000000000002E-2</v>
      </c>
      <c r="F101" s="230" t="str" cm="1">
        <f t="array" ref="F101">Common_InputFunctions.Utility_DisplayArrayInTable(Fuel_SourceData.Fuel_Scope1EmissionFactorsStationaryGaseous_Data(), Table_Fuel_EFs_StationaryGaseous[[#Headers],[Fuel combusted]],0)</f>
        <v>m3</v>
      </c>
      <c r="G101" s="230" cm="1">
        <f t="array" ref="G101">Common_InputFunctions.Utility_DisplayArrayInTable(Fuel_SourceData.Fuel_Scope1EmissionFactorsStationaryGaseous_Data(), Table_Fuel_EFs_StationaryGaseous[[#Headers],[Fuel combusted]],0)</f>
        <v>0</v>
      </c>
      <c r="H101" s="230" cm="1">
        <f t="array" ref="H101">Common_InputFunctions.Utility_DisplayArrayInTable(Fuel_SourceData.Fuel_Scope1EmissionFactorsStationaryGaseous_Data(), Table_Fuel_EFs_StationaryGaseous[[#Headers],[Fuel combusted]],0)</f>
        <v>0.1</v>
      </c>
      <c r="I101" s="230" cm="1">
        <f t="array" ref="I101">Common_InputFunctions.Utility_DisplayArrayInTable(Fuel_SourceData.Fuel_Scope1EmissionFactorsStationaryGaseous_Data(), Table_Fuel_EFs_StationaryGaseous[[#Headers],[Fuel combusted]],0)</f>
        <v>0.03</v>
      </c>
      <c r="J101" s="230" cm="1">
        <f t="array" ref="J101">Common_InputFunctions.Utility_DisplayArrayInTable(Fuel_SourceData.Fuel_Scope1EmissionFactorsStationaryGaseous_Data(), Table_Fuel_EFs_StationaryGaseous[[#Headers],[Fuel combusted]],0)</f>
        <v>0.13</v>
      </c>
      <c r="K101" s="178"/>
      <c r="L101" s="178"/>
    </row>
    <row r="102" spans="4:13" ht="20.100000000000001" customHeight="1" x14ac:dyDescent="0.25">
      <c r="D102" s="230" t="str" cm="1">
        <f t="array" ref="D102">Common_InputFunctions.Utility_DisplayArrayInTable(Fuel_SourceData.Fuel_Scope1EmissionFactorsStationaryGaseous_Data(), Table_Fuel_EFs_StationaryGaseous[[#Headers],[Fuel combusted]],0)</f>
        <v>Hydrogen</v>
      </c>
      <c r="E102" s="230" cm="1">
        <f t="array" ref="E102">Common_InputFunctions.Utility_DisplayArrayInTable(Fuel_SourceData.Fuel_Scope1EmissionFactorsStationaryGaseous_Data(), Table_Fuel_EFs_StationaryGaseous[[#Headers],[Fuel combusted]],0)</f>
        <v>1.2200000000000001E-2</v>
      </c>
      <c r="F102" s="230" t="str" cm="1">
        <f t="array" ref="F102">Common_InputFunctions.Utility_DisplayArrayInTable(Fuel_SourceData.Fuel_Scope1EmissionFactorsStationaryGaseous_Data(), Table_Fuel_EFs_StationaryGaseous[[#Headers],[Fuel combusted]],0)</f>
        <v>m3</v>
      </c>
      <c r="G102" s="230" cm="1">
        <f t="array" ref="G102">Common_InputFunctions.Utility_DisplayArrayInTable(Fuel_SourceData.Fuel_Scope1EmissionFactorsStationaryGaseous_Data(), Table_Fuel_EFs_StationaryGaseous[[#Headers],[Fuel combusted]],0)</f>
        <v>0</v>
      </c>
      <c r="H102" s="230" cm="1">
        <f t="array" ref="H102">Common_InputFunctions.Utility_DisplayArrayInTable(Fuel_SourceData.Fuel_Scope1EmissionFactorsStationaryGaseous_Data(), Table_Fuel_EFs_StationaryGaseous[[#Headers],[Fuel combusted]],0)</f>
        <v>0</v>
      </c>
      <c r="I102" s="230" cm="1">
        <f t="array" ref="I102">Common_InputFunctions.Utility_DisplayArrayInTable(Fuel_SourceData.Fuel_Scope1EmissionFactorsStationaryGaseous_Data(), Table_Fuel_EFs_StationaryGaseous[[#Headers],[Fuel combusted]],0)</f>
        <v>0.5</v>
      </c>
      <c r="J102" s="230" cm="1">
        <f t="array" ref="J102">Common_InputFunctions.Utility_DisplayArrayInTable(Fuel_SourceData.Fuel_Scope1EmissionFactorsStationaryGaseous_Data(), Table_Fuel_EFs_StationaryGaseous[[#Headers],[Fuel combusted]],0)</f>
        <v>0.5</v>
      </c>
      <c r="K102" s="178"/>
      <c r="L102" s="178"/>
    </row>
    <row r="103" spans="4:13" ht="20.100000000000001" customHeight="1" x14ac:dyDescent="0.25">
      <c r="D103" s="230" t="str" cm="1">
        <f t="array" ref="D103">Common_InputFunctions.Utility_DisplayArrayInTable(Fuel_SourceData.Fuel_Scope1EmissionFactorsStationaryGaseous_Data(), Table_Fuel_EFs_StationaryGaseous[[#Headers],[Fuel combusted]],0)</f>
        <v>Natural gas distributed in a pipeline - Gigajoules</v>
      </c>
      <c r="E103" s="230" cm="1">
        <f t="array" ref="E103">Common_InputFunctions.Utility_DisplayArrayInTable(Fuel_SourceData.Fuel_Scope1EmissionFactorsStationaryGaseous_Data(), Table_Fuel_EFs_StationaryGaseous[[#Headers],[Fuel combusted]],0)</f>
        <v>1</v>
      </c>
      <c r="F103" s="230" t="str" cm="1">
        <f t="array" ref="F103">Common_InputFunctions.Utility_DisplayArrayInTable(Fuel_SourceData.Fuel_Scope1EmissionFactorsStationaryGaseous_Data(), Table_Fuel_EFs_StationaryGaseous[[#Headers],[Fuel combusted]],0)</f>
        <v>GJ</v>
      </c>
      <c r="G103" s="230" cm="1">
        <f t="array" ref="G103">Common_InputFunctions.Utility_DisplayArrayInTable(Fuel_SourceData.Fuel_Scope1EmissionFactorsStationaryGaseous_Data(), Table_Fuel_EFs_StationaryGaseous[[#Headers],[Fuel combusted]],0)</f>
        <v>51.4</v>
      </c>
      <c r="H103" s="230" cm="1">
        <f t="array" ref="H103">Common_InputFunctions.Utility_DisplayArrayInTable(Fuel_SourceData.Fuel_Scope1EmissionFactorsStationaryGaseous_Data(), Table_Fuel_EFs_StationaryGaseous[[#Headers],[Fuel combusted]],0)</f>
        <v>0.1</v>
      </c>
      <c r="I103" s="230" cm="1">
        <f t="array" ref="I103">Common_InputFunctions.Utility_DisplayArrayInTable(Fuel_SourceData.Fuel_Scope1EmissionFactorsStationaryGaseous_Data(), Table_Fuel_EFs_StationaryGaseous[[#Headers],[Fuel combusted]],0)</f>
        <v>0.03</v>
      </c>
      <c r="J103" s="230" cm="1">
        <f t="array" ref="J103">Common_InputFunctions.Utility_DisplayArrayInTable(Fuel_SourceData.Fuel_Scope1EmissionFactorsStationaryGaseous_Data(), Table_Fuel_EFs_StationaryGaseous[[#Headers],[Fuel combusted]],0)</f>
        <v>51.53</v>
      </c>
      <c r="K103" s="178"/>
      <c r="L103" s="178"/>
    </row>
    <row r="104" spans="4:13" ht="20.100000000000001" customHeight="1" x14ac:dyDescent="0.25">
      <c r="D104" s="230" t="str" cm="1">
        <f t="array" ref="D104">Common_InputFunctions.Utility_DisplayArrayInTable(Fuel_SourceData.Fuel_Scope1EmissionFactorsStationaryGaseous_Data(), Table_Fuel_EFs_StationaryGaseous[[#Headers],[Fuel combusted]],0)</f>
        <v>Town gas - Gigajoules</v>
      </c>
      <c r="E104" s="230" cm="1">
        <f t="array" ref="E104">Common_InputFunctions.Utility_DisplayArrayInTable(Fuel_SourceData.Fuel_Scope1EmissionFactorsStationaryGaseous_Data(), Table_Fuel_EFs_StationaryGaseous[[#Headers],[Fuel combusted]],0)</f>
        <v>1</v>
      </c>
      <c r="F104" s="230" t="str" cm="1">
        <f t="array" ref="F104">Common_InputFunctions.Utility_DisplayArrayInTable(Fuel_SourceData.Fuel_Scope1EmissionFactorsStationaryGaseous_Data(), Table_Fuel_EFs_StationaryGaseous[[#Headers],[Fuel combusted]],0)</f>
        <v>GJ</v>
      </c>
      <c r="G104" s="230" cm="1">
        <f t="array" ref="G104">Common_InputFunctions.Utility_DisplayArrayInTable(Fuel_SourceData.Fuel_Scope1EmissionFactorsStationaryGaseous_Data(), Table_Fuel_EFs_StationaryGaseous[[#Headers],[Fuel combusted]],0)</f>
        <v>60.2</v>
      </c>
      <c r="H104" s="230" cm="1">
        <f t="array" ref="H104">Common_InputFunctions.Utility_DisplayArrayInTable(Fuel_SourceData.Fuel_Scope1EmissionFactorsStationaryGaseous_Data(), Table_Fuel_EFs_StationaryGaseous[[#Headers],[Fuel combusted]],0)</f>
        <v>0.04</v>
      </c>
      <c r="I104" s="230" cm="1">
        <f t="array" ref="I104">Common_InputFunctions.Utility_DisplayArrayInTable(Fuel_SourceData.Fuel_Scope1EmissionFactorsStationaryGaseous_Data(), Table_Fuel_EFs_StationaryGaseous[[#Headers],[Fuel combusted]],0)</f>
        <v>0.03</v>
      </c>
      <c r="J104" s="230" cm="1">
        <f t="array" ref="J104">Common_InputFunctions.Utility_DisplayArrayInTable(Fuel_SourceData.Fuel_Scope1EmissionFactorsStationaryGaseous_Data(), Table_Fuel_EFs_StationaryGaseous[[#Headers],[Fuel combusted]],0)</f>
        <v>60.27</v>
      </c>
      <c r="K104" s="178"/>
      <c r="L104" s="178"/>
    </row>
    <row r="105" spans="4:13" ht="20.100000000000001" customHeight="1" x14ac:dyDescent="0.25">
      <c r="D105" s="178"/>
      <c r="E105" s="178"/>
      <c r="F105" s="178"/>
      <c r="G105" s="178"/>
      <c r="H105" s="178"/>
      <c r="I105" s="178"/>
      <c r="J105" s="178"/>
      <c r="K105" s="178"/>
      <c r="L105" s="178"/>
      <c r="M105" s="178"/>
    </row>
    <row r="106" spans="4:13" ht="20.100000000000001" customHeight="1" x14ac:dyDescent="0.25">
      <c r="D106" s="178"/>
      <c r="E106" s="178"/>
      <c r="F106" s="178"/>
      <c r="G106" s="178"/>
      <c r="H106" s="178"/>
      <c r="I106" s="178"/>
      <c r="J106" s="178"/>
      <c r="K106" s="178"/>
      <c r="L106" s="178"/>
      <c r="M106" s="178"/>
    </row>
    <row r="107" spans="4:13" ht="20.100000000000001" customHeight="1" x14ac:dyDescent="0.25">
      <c r="D107" s="2" t="str" cm="1">
        <f t="array" ref="D107">Fuel_SourceData.Fuel_Scope3EmissionFactorsStationaryGaseous_Title()</f>
        <v>Fuel scope 3 emission factors - Stationary gaseous fuels</v>
      </c>
      <c r="E107" s="178"/>
      <c r="F107" s="178"/>
      <c r="G107" s="178"/>
      <c r="H107" s="178"/>
      <c r="I107" s="178"/>
      <c r="J107" s="178"/>
      <c r="K107" s="178"/>
      <c r="L107" s="178"/>
    </row>
    <row r="108" spans="4:13" ht="20.100000000000001" customHeight="1" x14ac:dyDescent="0.25">
      <c r="D108" s="1" t="str" cm="1">
        <f t="array" ref="D108">Fuel_SourceData.Fuel_Scope3EmissionFactorsStationaryGaseous_Description()</f>
        <v>Indirect (Scope 3) emission factors for the consumption of natural gas.</v>
      </c>
      <c r="E108" s="178"/>
      <c r="F108" s="178"/>
      <c r="G108" s="178"/>
      <c r="H108" s="178"/>
      <c r="I108" s="178"/>
      <c r="J108" s="178"/>
      <c r="K108" s="178"/>
      <c r="L108" s="178"/>
    </row>
    <row r="109" spans="4:13" ht="20.100000000000001" customHeight="1" x14ac:dyDescent="0.25">
      <c r="D109" s="27" t="str" cm="1">
        <f t="array" ref="D109">Fuel_SourceData.Fuel_Scope3EmissionFactorsStationaryGaseous_Source()</f>
        <v>Australian National Greenhouse Accounts Factors 2025 - Table 6</v>
      </c>
      <c r="E109" s="178"/>
      <c r="F109" s="178"/>
      <c r="G109" s="178"/>
      <c r="H109" s="178"/>
      <c r="I109" s="178"/>
      <c r="J109" s="178"/>
      <c r="K109" s="178"/>
      <c r="L109" s="178"/>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8"/>
      <c r="F110" s="178"/>
      <c r="G110" s="178"/>
      <c r="H110" s="178"/>
      <c r="I110" s="178"/>
      <c r="J110" s="178"/>
      <c r="K110" s="178"/>
      <c r="L110" s="178"/>
    </row>
    <row r="111" spans="4:13" ht="20.100000000000001" customHeight="1" x14ac:dyDescent="0.25">
      <c r="D111" s="178"/>
      <c r="E111" s="178"/>
      <c r="F111" s="178"/>
      <c r="G111" s="178"/>
      <c r="H111" s="178"/>
      <c r="I111" s="178"/>
      <c r="J111" s="178"/>
      <c r="K111" s="178"/>
      <c r="L111" s="178"/>
    </row>
    <row r="112" spans="4:13" ht="20.100000000000001" customHeight="1" x14ac:dyDescent="0.25">
      <c r="D112" s="196" t="s">
        <v>771</v>
      </c>
      <c r="E112" s="227" t="s">
        <v>705</v>
      </c>
      <c r="F112" s="227" t="s">
        <v>772</v>
      </c>
      <c r="G112" s="178"/>
      <c r="H112" s="88" t="s">
        <v>773</v>
      </c>
      <c r="I112" s="178"/>
      <c r="J112" s="178"/>
      <c r="K112" s="178"/>
      <c r="L112" s="178"/>
    </row>
    <row r="113" spans="4:13" ht="20.100000000000001" customHeight="1" x14ac:dyDescent="0.25">
      <c r="D113" s="231" t="str" cm="1">
        <f t="array" ref="D113">Common_InputFunctions.Utility_DisplayArrayInTable(Fuel_SourceData.Fuel_Scope3EmissionFactorsStationaryGaseous_Data(), Table_Fuel_EFs_StationaryGaseous34[[#Headers],[State or territory]],0)</f>
        <v>New South Wales</v>
      </c>
      <c r="E113" s="231" cm="1">
        <f t="array" ref="E113">Common_InputFunctions.Utility_DisplayArrayInTable(Fuel_SourceData.Fuel_Scope3EmissionFactorsStationaryGaseous_Data(), Table_Fuel_EFs_StationaryGaseous34[[#Headers],[State or territory]],0)</f>
        <v>13.1</v>
      </c>
      <c r="F113" s="231" cm="1">
        <f t="array" ref="F113">Common_InputFunctions.Utility_DisplayArrayInTable(Fuel_SourceData.Fuel_Scope3EmissionFactorsStationaryGaseous_Data(), Table_Fuel_EFs_StationaryGaseous34[[#Headers],[State or territory]],0)</f>
        <v>14</v>
      </c>
      <c r="G113" s="232"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8"/>
      <c r="J113" s="178"/>
      <c r="K113" s="178"/>
      <c r="L113" s="178"/>
    </row>
    <row r="114" spans="4:13" ht="20.100000000000001" customHeight="1" x14ac:dyDescent="0.25">
      <c r="D114" s="231" t="str" cm="1">
        <f t="array" ref="D114">Common_InputFunctions.Utility_DisplayArrayInTable(Fuel_SourceData.Fuel_Scope3EmissionFactorsStationaryGaseous_Data(), Table_Fuel_EFs_StationaryGaseous34[[#Headers],[State or territory]],0)</f>
        <v>ACT</v>
      </c>
      <c r="E114" s="231" cm="1">
        <f t="array" ref="E114">Common_InputFunctions.Utility_DisplayArrayInTable(Fuel_SourceData.Fuel_Scope3EmissionFactorsStationaryGaseous_Data(), Table_Fuel_EFs_StationaryGaseous34[[#Headers],[State or territory]],0)</f>
        <v>13.1</v>
      </c>
      <c r="F114" s="231" cm="1">
        <f t="array" ref="F114">Common_InputFunctions.Utility_DisplayArrayInTable(Fuel_SourceData.Fuel_Scope3EmissionFactorsStationaryGaseous_Data(), Table_Fuel_EFs_StationaryGaseous34[[#Headers],[State or territory]],0)</f>
        <v>14</v>
      </c>
      <c r="G114" s="232" t="str">
        <v/>
      </c>
      <c r="H114" s="1" t="str">
        <v>Gas reaches end users either from the metro distribution networks or direct from the high - pressure distribution pipelines.</v>
      </c>
      <c r="I114" s="178"/>
      <c r="J114" s="178"/>
      <c r="K114" s="178"/>
      <c r="L114" s="178"/>
    </row>
    <row r="115" spans="4:13" ht="20.100000000000001" customHeight="1" x14ac:dyDescent="0.25">
      <c r="D115" s="231" t="str" cm="1">
        <f t="array" ref="D115">Common_InputFunctions.Utility_DisplayArrayInTable(Fuel_SourceData.Fuel_Scope3EmissionFactorsStationaryGaseous_Data(), Table_Fuel_EFs_StationaryGaseous34[[#Headers],[State or territory]],0)</f>
        <v>Victoria</v>
      </c>
      <c r="E115" s="231" cm="1">
        <f t="array" ref="E115">Common_InputFunctions.Utility_DisplayArrayInTable(Fuel_SourceData.Fuel_Scope3EmissionFactorsStationaryGaseous_Data(), Table_Fuel_EFs_StationaryGaseous34[[#Headers],[State or territory]],0)</f>
        <v>4</v>
      </c>
      <c r="F115" s="231" cm="1">
        <f t="array" ref="F115">Common_InputFunctions.Utility_DisplayArrayInTable(Fuel_SourceData.Fuel_Scope3EmissionFactorsStationaryGaseous_Data(), Table_Fuel_EFs_StationaryGaseous34[[#Headers],[State or territory]],0)</f>
        <v>4</v>
      </c>
      <c r="G115" s="232" t="str">
        <v/>
      </c>
      <c r="H115" s="1" t="str">
        <v>Households and commercial users tend to be served by the former, and electricity generators and large industrial plants from the latter.</v>
      </c>
      <c r="I115" s="178"/>
      <c r="J115" s="178"/>
      <c r="K115" s="178"/>
      <c r="L115" s="178"/>
    </row>
    <row r="116" spans="4:13" ht="20.100000000000001" customHeight="1" x14ac:dyDescent="0.25">
      <c r="D116" s="231" t="str" cm="1">
        <f t="array" ref="D116">Common_InputFunctions.Utility_DisplayArrayInTable(Fuel_SourceData.Fuel_Scope3EmissionFactorsStationaryGaseous_Data(), Table_Fuel_EFs_StationaryGaseous34[[#Headers],[State or territory]],0)</f>
        <v>Queensland</v>
      </c>
      <c r="E116" s="231" cm="1">
        <f t="array" ref="E116">Common_InputFunctions.Utility_DisplayArrayInTable(Fuel_SourceData.Fuel_Scope3EmissionFactorsStationaryGaseous_Data(), Table_Fuel_EFs_StationaryGaseous34[[#Headers],[State or territory]],0)</f>
        <v>8.8000000000000007</v>
      </c>
      <c r="F116" s="231" cm="1">
        <f t="array" ref="F116">Common_InputFunctions.Utility_DisplayArrayInTable(Fuel_SourceData.Fuel_Scope3EmissionFactorsStationaryGaseous_Data(), Table_Fuel_EFs_StationaryGaseous34[[#Headers],[State or territory]],0)</f>
        <v>7.9</v>
      </c>
      <c r="G116" s="232" t="str">
        <v>-</v>
      </c>
      <c r="H116" s="1" t="str">
        <v>Metro is defined as located on or east of the dividing range in NSW, including Canberra and Queanbeyan, Melbourne, Brisbane, Adelaide or Perth.</v>
      </c>
      <c r="I116" s="178"/>
      <c r="J116" s="178"/>
      <c r="K116" s="178"/>
      <c r="L116" s="178"/>
    </row>
    <row r="117" spans="4:13" ht="20.100000000000001" customHeight="1" x14ac:dyDescent="0.25">
      <c r="D117" s="231" t="str" cm="1">
        <f t="array" ref="D117">Common_InputFunctions.Utility_DisplayArrayInTable(Fuel_SourceData.Fuel_Scope3EmissionFactorsStationaryGaseous_Data(), Table_Fuel_EFs_StationaryGaseous34[[#Headers],[State or territory]],0)</f>
        <v>South Australia</v>
      </c>
      <c r="E117" s="231" cm="1">
        <f t="array" ref="E117">Common_InputFunctions.Utility_DisplayArrayInTable(Fuel_SourceData.Fuel_Scope3EmissionFactorsStationaryGaseous_Data(), Table_Fuel_EFs_StationaryGaseous34[[#Headers],[State or territory]],0)</f>
        <v>10.7</v>
      </c>
      <c r="F117" s="231" cm="1">
        <f t="array" ref="F117">Common_InputFunctions.Utility_DisplayArrayInTable(Fuel_SourceData.Fuel_Scope3EmissionFactorsStationaryGaseous_Data(), Table_Fuel_EFs_StationaryGaseous34[[#Headers],[State or territory]],0)</f>
        <v>10.6</v>
      </c>
      <c r="G117" s="232" t="str">
        <v/>
      </c>
      <c r="H117" s="1" t="str">
        <v>Otherwise, the non - metro factor should be used.</v>
      </c>
      <c r="I117" s="178"/>
      <c r="J117" s="178"/>
      <c r="K117" s="178"/>
      <c r="L117" s="178"/>
    </row>
    <row r="118" spans="4:13" ht="20.100000000000001" customHeight="1" x14ac:dyDescent="0.25">
      <c r="D118" s="231" t="str" cm="1">
        <f t="array" ref="D118">Common_InputFunctions.Utility_DisplayArrayInTable(Fuel_SourceData.Fuel_Scope3EmissionFactorsStationaryGaseous_Data(), Table_Fuel_EFs_StationaryGaseous34[[#Headers],[State or territory]],0)</f>
        <v>Western Australia</v>
      </c>
      <c r="E118" s="231" cm="1">
        <f t="array" ref="E118">Common_InputFunctions.Utility_DisplayArrayInTable(Fuel_SourceData.Fuel_Scope3EmissionFactorsStationaryGaseous_Data(), Table_Fuel_EFs_StationaryGaseous34[[#Headers],[State or territory]],0)</f>
        <v>4.0999999999999996</v>
      </c>
      <c r="F118" s="231" cm="1">
        <f t="array" ref="F118">Common_InputFunctions.Utility_DisplayArrayInTable(Fuel_SourceData.Fuel_Scope3EmissionFactorsStationaryGaseous_Data(), Table_Fuel_EFs_StationaryGaseous34[[#Headers],[State or territory]],0)</f>
        <v>4</v>
      </c>
      <c r="G118" s="232" t="str">
        <v>-</v>
      </c>
      <c r="H118" s="1" t="str">
        <v>Factors are calculated for all natural gas distributed in a pipeline which may include coal seam methane.</v>
      </c>
      <c r="I118" s="178"/>
      <c r="J118" s="178"/>
      <c r="K118" s="178"/>
      <c r="L118" s="178"/>
    </row>
    <row r="119" spans="4:13" ht="20.100000000000001" customHeight="1" x14ac:dyDescent="0.25">
      <c r="D119" s="231" t="str" cm="1">
        <f t="array" ref="D119">Common_InputFunctions.Utility_DisplayArrayInTable(Fuel_SourceData.Fuel_Scope3EmissionFactorsStationaryGaseous_Data(), Table_Fuel_EFs_StationaryGaseous34[[#Headers],[State or territory]],0)</f>
        <v>Tasmania</v>
      </c>
      <c r="E119" s="231" cm="1">
        <f t="array" ref="E119">Common_InputFunctions.Utility_DisplayArrayInTable(Fuel_SourceData.Fuel_Scope3EmissionFactorsStationaryGaseous_Data(), Table_Fuel_EFs_StationaryGaseous34[[#Headers],[State or territory]],0)</f>
        <v>4</v>
      </c>
      <c r="F119" s="231" cm="1">
        <f t="array" ref="F119">Common_InputFunctions.Utility_DisplayArrayInTable(Fuel_SourceData.Fuel_Scope3EmissionFactorsStationaryGaseous_Data(), Table_Fuel_EFs_StationaryGaseous34[[#Headers],[State or territory]],0)</f>
        <v>4</v>
      </c>
      <c r="G119" s="232" t="str">
        <v>-</v>
      </c>
      <c r="H119" s="1" t="str">
        <v>Table 6 is not applicable to ethane. See Table 7 Indirect (Scope 3) emissions from the consumption of ethane.</v>
      </c>
      <c r="I119" s="178"/>
      <c r="J119" s="178"/>
      <c r="K119" s="178"/>
      <c r="L119" s="178"/>
    </row>
    <row r="120" spans="4:13" ht="20.100000000000001" customHeight="1" x14ac:dyDescent="0.25">
      <c r="D120" s="231" t="str" cm="1">
        <f t="array" ref="D120">Common_InputFunctions.Utility_DisplayArrayInTable(Fuel_SourceData.Fuel_Scope3EmissionFactorsStationaryGaseous_Data(), Table_Fuel_EFs_StationaryGaseous34[[#Headers],[State or territory]],0)</f>
        <v>Northern Territory</v>
      </c>
      <c r="E120" s="231" cm="1">
        <f t="array" ref="E120">Common_InputFunctions.Utility_DisplayArrayInTable(Fuel_SourceData.Fuel_Scope3EmissionFactorsStationaryGaseous_Data(), Table_Fuel_EFs_StationaryGaseous34[[#Headers],[State or territory]],0)</f>
        <v>4.0999999999999996</v>
      </c>
      <c r="F120" s="231" cm="1">
        <f t="array" ref="F120">Common_InputFunctions.Utility_DisplayArrayInTable(Fuel_SourceData.Fuel_Scope3EmissionFactorsStationaryGaseous_Data(), Table_Fuel_EFs_StationaryGaseous34[[#Headers],[State or territory]],0)</f>
        <v>4</v>
      </c>
      <c r="G120" s="232" t="str">
        <v>-</v>
      </c>
      <c r="H120" s="1" t="str">
        <v>C = Confidential. Scope 3 emission factors for Tasmania and the Northern Territory are not available due to confidentiality constraints that arise</v>
      </c>
      <c r="I120" s="178"/>
      <c r="J120" s="178"/>
      <c r="K120" s="178"/>
      <c r="L120" s="178"/>
    </row>
    <row r="121" spans="4:13" ht="20.100000000000001" customHeight="1" x14ac:dyDescent="0.25">
      <c r="D121" s="8"/>
      <c r="E121" s="8"/>
      <c r="F121" s="8"/>
      <c r="G121" s="232" t="str">
        <v/>
      </c>
      <c r="H121" s="1" t="str">
        <v>from the use of a limited number of NGER data inputs. It is suggested that for Tasmania the use of the Victorian emission factors is appropriate,</v>
      </c>
      <c r="I121" s="178"/>
      <c r="J121" s="178"/>
      <c r="K121" s="178"/>
      <c r="L121" s="178"/>
    </row>
    <row r="122" spans="4:13" ht="20.100000000000001" customHeight="1" x14ac:dyDescent="0.25">
      <c r="D122" s="178"/>
      <c r="F122" s="233"/>
      <c r="G122" s="232" t="str">
        <v/>
      </c>
      <c r="H122" s="1" t="str">
        <v>while for Northern Territory the use of the Western Australian emission factors is appropriate.</v>
      </c>
      <c r="I122" s="178"/>
      <c r="J122" s="178"/>
      <c r="K122" s="178"/>
      <c r="L122" s="178"/>
    </row>
    <row r="123" spans="4:13" ht="20.100000000000001" customHeight="1" x14ac:dyDescent="0.25">
      <c r="D123" s="234"/>
      <c r="F123" s="233"/>
      <c r="G123" s="232" t="str">
        <v>-</v>
      </c>
      <c r="H123" s="1" t="str">
        <v>Scope 3 emission factors do not include fugitive emission leakage from low pressure natural gas distribution pipeline networks while those from high pressure</v>
      </c>
      <c r="I123" s="178"/>
      <c r="J123" s="178"/>
      <c r="K123" s="178"/>
      <c r="L123" s="178"/>
    </row>
    <row r="124" spans="4:13" ht="20.100000000000001" customHeight="1" x14ac:dyDescent="0.25">
      <c r="D124" s="234"/>
      <c r="F124" s="233"/>
      <c r="G124" s="178" t="str">
        <v/>
      </c>
      <c r="H124" s="1" t="str">
        <v>gas networks are considered negligible.</v>
      </c>
      <c r="I124" s="178"/>
      <c r="J124" s="178"/>
      <c r="K124" s="178"/>
      <c r="L124" s="178"/>
    </row>
    <row r="125" spans="4:13" ht="20.100000000000001" customHeight="1" x14ac:dyDescent="0.25">
      <c r="D125" s="234"/>
      <c r="F125" s="233"/>
      <c r="G125" s="178"/>
      <c r="H125" s="178"/>
      <c r="I125" s="178"/>
      <c r="J125" s="178"/>
      <c r="K125" s="178"/>
      <c r="L125" s="178"/>
    </row>
    <row r="126" spans="4:13" ht="20.100000000000001" customHeight="1" x14ac:dyDescent="0.25">
      <c r="D126" s="178"/>
      <c r="E126" s="178"/>
      <c r="F126" s="178"/>
      <c r="G126" s="178"/>
      <c r="H126" s="178"/>
      <c r="I126" s="178"/>
      <c r="J126" s="178"/>
      <c r="K126" s="178"/>
      <c r="L126" s="178"/>
      <c r="M126" s="178"/>
    </row>
    <row r="127" spans="4:13" ht="20.100000000000001" customHeight="1" x14ac:dyDescent="0.25">
      <c r="D127" s="178"/>
      <c r="E127" s="178"/>
      <c r="F127" s="178"/>
      <c r="G127" s="178"/>
      <c r="H127" s="178"/>
      <c r="I127" s="178"/>
      <c r="J127" s="178"/>
      <c r="K127" s="178"/>
      <c r="L127" s="178"/>
      <c r="M127" s="178"/>
    </row>
    <row r="128" spans="4:13" ht="20.100000000000001" customHeight="1" x14ac:dyDescent="0.25">
      <c r="D128" s="178"/>
      <c r="E128" s="178"/>
      <c r="F128" s="178"/>
      <c r="G128" s="178"/>
      <c r="H128" s="178"/>
      <c r="I128" s="178"/>
      <c r="J128" s="178"/>
      <c r="K128" s="178"/>
      <c r="L128" s="178"/>
      <c r="M128" s="178"/>
    </row>
    <row r="129" spans="4:33" ht="20.100000000000001" customHeight="1" x14ac:dyDescent="0.25">
      <c r="D129" s="235"/>
      <c r="E129" s="178"/>
      <c r="F129" s="178"/>
      <c r="G129" s="178"/>
      <c r="H129" s="178"/>
      <c r="I129" s="178"/>
      <c r="J129" s="178"/>
      <c r="K129" s="178"/>
      <c r="L129" s="178"/>
    </row>
    <row r="130" spans="4:33" ht="20.100000000000001" customHeight="1" x14ac:dyDescent="0.25">
      <c r="D130" s="236" t="s">
        <v>774</v>
      </c>
      <c r="E130" s="236" t="s">
        <v>714</v>
      </c>
      <c r="F130" s="236" t="s">
        <v>775</v>
      </c>
      <c r="G130" s="236" t="s">
        <v>717</v>
      </c>
      <c r="H130" s="236" t="s">
        <v>719</v>
      </c>
      <c r="I130" s="236" t="s">
        <v>720</v>
      </c>
      <c r="J130" s="178"/>
      <c r="K130" s="178"/>
      <c r="L130" s="178"/>
    </row>
    <row r="131" spans="4:33" ht="20.100000000000001" customHeight="1" x14ac:dyDescent="0.25">
      <c r="D131" s="237" t="str">
        <f>$D$143</f>
        <v>Petrol</v>
      </c>
      <c r="E131" s="237" t="str">
        <f>$D$143</f>
        <v>Petrol</v>
      </c>
      <c r="F131" s="237" t="str">
        <f>$D$150</f>
        <v>Avgas</v>
      </c>
      <c r="G131" s="237" t="str">
        <f>$D$143</f>
        <v>Petrol</v>
      </c>
      <c r="H131" s="237" t="str">
        <f>$D$144</f>
        <v>Diesel</v>
      </c>
      <c r="I131" s="237" t="str">
        <f>$D$143</f>
        <v>Petrol</v>
      </c>
      <c r="J131" s="178"/>
      <c r="K131" s="178"/>
      <c r="L131" s="178"/>
    </row>
    <row r="132" spans="4:33" ht="20.100000000000001" customHeight="1" x14ac:dyDescent="0.25">
      <c r="D132" s="237" t="str">
        <f>$D$144</f>
        <v>Diesel</v>
      </c>
      <c r="E132" s="237" t="str">
        <f>$D$144</f>
        <v>Diesel</v>
      </c>
      <c r="F132" s="237" t="str">
        <f>$D$151</f>
        <v>Jet A1, Jet B</v>
      </c>
      <c r="G132" s="237" t="str">
        <f>$D$144</f>
        <v>Diesel</v>
      </c>
      <c r="H132" s="237"/>
      <c r="I132" s="237" t="str">
        <f>$D$144</f>
        <v>Diesel</v>
      </c>
      <c r="J132" s="178"/>
      <c r="K132" s="178"/>
      <c r="L132" s="178"/>
    </row>
    <row r="133" spans="4:33" ht="20.100000000000001" customHeight="1" x14ac:dyDescent="0.25">
      <c r="D133" s="237" t="str">
        <f>$D$145</f>
        <v>Liquefied petroleum gas (LPG)</v>
      </c>
      <c r="E133" s="237" t="str">
        <f>$D$145</f>
        <v>Liquefied petroleum gas (LPG)</v>
      </c>
      <c r="F133" s="237" t="str">
        <f>$D$152</f>
        <v>Renewable aviation kerosene</v>
      </c>
      <c r="G133" s="237" t="str">
        <f>$D$145</f>
        <v>Liquefied petroleum gas (LPG)</v>
      </c>
      <c r="H133" s="237"/>
      <c r="I133" s="237" t="s">
        <v>721</v>
      </c>
      <c r="J133" s="178"/>
      <c r="K133" s="178"/>
      <c r="L133" s="178"/>
    </row>
    <row r="134" spans="4:33" ht="20.100000000000001" customHeight="1" x14ac:dyDescent="0.25">
      <c r="D134" s="237" t="str">
        <f>$D$146</f>
        <v>Biodiesel</v>
      </c>
      <c r="E134" s="237" t="str">
        <f>$D$146</f>
        <v>Biodiesel</v>
      </c>
      <c r="F134" s="236"/>
      <c r="G134" s="237" t="str">
        <f>$D$160</f>
        <v>Fuel oil</v>
      </c>
      <c r="H134" s="237"/>
      <c r="I134" s="237"/>
      <c r="J134" s="178"/>
      <c r="K134" s="178"/>
      <c r="L134" s="178"/>
    </row>
    <row r="135" spans="4:33" ht="20.100000000000001" customHeight="1" x14ac:dyDescent="0.25">
      <c r="D135" s="237" t="str">
        <f>$D$147</f>
        <v>Ethanol</v>
      </c>
      <c r="E135" s="237" t="str">
        <f>$D$147</f>
        <v>Ethanol</v>
      </c>
      <c r="F135" s="236"/>
      <c r="G135" s="237" t="str">
        <f>$D$147</f>
        <v>Ethanol</v>
      </c>
      <c r="H135" s="237"/>
      <c r="I135" s="237"/>
      <c r="J135" s="178"/>
      <c r="K135" s="178"/>
      <c r="L135" s="178"/>
    </row>
    <row r="136" spans="4:33" ht="20.100000000000001" customHeight="1" x14ac:dyDescent="0.25">
      <c r="D136" s="237" t="str">
        <f>$D$148</f>
        <v>Other biofuels</v>
      </c>
      <c r="E136" s="237" t="str">
        <f>$D$148</f>
        <v>Other biofuels</v>
      </c>
      <c r="F136" s="236"/>
      <c r="G136" s="237" t="str">
        <f>$D$146</f>
        <v>Biodiesel</v>
      </c>
      <c r="H136" s="237"/>
      <c r="I136" s="237"/>
      <c r="J136" s="178"/>
      <c r="K136" s="178"/>
      <c r="L136" s="178"/>
    </row>
    <row r="137" spans="4:33" ht="20.100000000000001" customHeight="1" x14ac:dyDescent="0.25">
      <c r="D137" s="237" t="str">
        <f>$D$149</f>
        <v>Renewable diesel</v>
      </c>
      <c r="E137" s="237" t="str">
        <f>$D$149</f>
        <v>Renewable diesel</v>
      </c>
      <c r="F137" s="236"/>
      <c r="G137" s="237" t="str">
        <f>$D$149</f>
        <v>Renewable diesel</v>
      </c>
      <c r="H137" s="237"/>
      <c r="I137" s="237"/>
      <c r="J137" s="178"/>
      <c r="K137" s="178"/>
      <c r="L137" s="178"/>
    </row>
    <row r="138" spans="4:33" ht="20.100000000000001" customHeight="1" x14ac:dyDescent="0.25">
      <c r="D138" s="236"/>
      <c r="E138" s="238" t="str">
        <f>$D$161</f>
        <v>Natural gas (via pipeline) in GJ</v>
      </c>
      <c r="F138" s="238"/>
      <c r="G138" s="237" t="str">
        <f>$D$148</f>
        <v>Other biofuels</v>
      </c>
      <c r="H138" s="237"/>
      <c r="I138" s="237"/>
      <c r="J138" s="178"/>
      <c r="K138" s="178"/>
      <c r="L138" s="178"/>
    </row>
    <row r="139" spans="4:33" ht="20.100000000000001" customHeight="1" x14ac:dyDescent="0.25">
      <c r="D139" s="238"/>
      <c r="E139" s="238" t="str">
        <f>$D$162</f>
        <v>Town gas in GJ</v>
      </c>
      <c r="F139" s="238"/>
      <c r="G139" s="238"/>
      <c r="H139" s="238"/>
      <c r="I139" s="238"/>
      <c r="J139" s="178"/>
      <c r="K139" s="178"/>
      <c r="L139" s="178"/>
    </row>
    <row r="140" spans="4:33" ht="20.100000000000001" customHeight="1" x14ac:dyDescent="0.25">
      <c r="D140" s="178"/>
      <c r="E140" s="178"/>
      <c r="F140" s="178"/>
      <c r="G140" s="178"/>
      <c r="H140" s="178"/>
      <c r="I140" s="178"/>
      <c r="J140" s="178"/>
      <c r="K140" s="178"/>
      <c r="L140" s="178"/>
    </row>
    <row r="141" spans="4:33" ht="20.100000000000001" customHeight="1" x14ac:dyDescent="0.25">
      <c r="D141" s="178"/>
      <c r="E141" s="178"/>
      <c r="F141" s="178"/>
      <c r="G141" s="178"/>
      <c r="H141" s="178"/>
      <c r="I141" s="178"/>
      <c r="J141" s="178"/>
      <c r="K141" s="178"/>
      <c r="L141" s="178"/>
    </row>
    <row r="142" spans="4:33" ht="20.100000000000001" customHeight="1" x14ac:dyDescent="0.25">
      <c r="D142" t="s">
        <v>776</v>
      </c>
      <c r="E142" t="s">
        <v>132</v>
      </c>
      <c r="F142" t="s">
        <v>777</v>
      </c>
      <c r="G142" s="178"/>
      <c r="H142" s="178"/>
      <c r="I142" s="178"/>
      <c r="J142" s="178"/>
      <c r="K142" s="178"/>
      <c r="L142" s="178"/>
      <c r="M142" s="178"/>
      <c r="AG142" s="1"/>
    </row>
    <row r="143" spans="4:33" ht="20.100000000000001" customHeight="1" x14ac:dyDescent="0.25">
      <c r="D143" s="237" t="s">
        <v>716</v>
      </c>
      <c r="E143" t="s">
        <v>778</v>
      </c>
      <c r="F143" t="s">
        <v>779</v>
      </c>
      <c r="G143" s="178"/>
      <c r="H143" s="178"/>
      <c r="I143" s="178"/>
      <c r="J143" s="178"/>
      <c r="K143" s="178"/>
      <c r="L143" s="178"/>
      <c r="M143" s="178"/>
      <c r="AG143" s="1"/>
    </row>
    <row r="144" spans="4:33" ht="20.100000000000001" customHeight="1" x14ac:dyDescent="0.25">
      <c r="D144" s="237" t="s">
        <v>718</v>
      </c>
      <c r="E144" t="s">
        <v>778</v>
      </c>
      <c r="F144" t="s">
        <v>779</v>
      </c>
      <c r="G144" s="178"/>
      <c r="H144" s="178"/>
      <c r="I144" s="178"/>
      <c r="J144" s="178"/>
      <c r="K144" s="178"/>
      <c r="L144" s="178"/>
      <c r="M144" s="178"/>
      <c r="AG144" s="1"/>
    </row>
    <row r="145" spans="4:33" ht="20.100000000000001" customHeight="1" x14ac:dyDescent="0.25">
      <c r="D145" s="237" t="s">
        <v>780</v>
      </c>
      <c r="E145" t="s">
        <v>778</v>
      </c>
      <c r="F145" t="s">
        <v>779</v>
      </c>
      <c r="G145" s="178"/>
      <c r="H145" s="178"/>
      <c r="I145" s="178"/>
      <c r="J145" s="178"/>
      <c r="K145" s="178"/>
      <c r="L145" s="178"/>
      <c r="M145" s="178"/>
      <c r="AG145" s="1"/>
    </row>
    <row r="146" spans="4:33" ht="20.100000000000001" customHeight="1" x14ac:dyDescent="0.25">
      <c r="D146" s="237" t="s">
        <v>781</v>
      </c>
      <c r="E146" t="s">
        <v>778</v>
      </c>
      <c r="F146" t="s">
        <v>779</v>
      </c>
      <c r="G146" s="178"/>
      <c r="H146" s="178"/>
      <c r="I146" s="178"/>
      <c r="J146" s="178"/>
      <c r="K146" s="178"/>
      <c r="L146" s="178"/>
      <c r="M146" s="178"/>
      <c r="AG146" s="1"/>
    </row>
    <row r="147" spans="4:33" ht="20.100000000000001" customHeight="1" x14ac:dyDescent="0.25">
      <c r="D147" s="237" t="s">
        <v>782</v>
      </c>
      <c r="E147" t="s">
        <v>778</v>
      </c>
      <c r="F147" t="s">
        <v>779</v>
      </c>
      <c r="G147" s="178"/>
      <c r="H147" s="178"/>
      <c r="I147" s="178"/>
      <c r="J147" s="178"/>
      <c r="K147" s="178"/>
      <c r="L147" s="178"/>
      <c r="M147" s="178"/>
      <c r="AG147" s="1"/>
    </row>
    <row r="148" spans="4:33" ht="20.100000000000001" customHeight="1" x14ac:dyDescent="0.25">
      <c r="D148" s="237" t="s">
        <v>783</v>
      </c>
      <c r="E148" t="s">
        <v>778</v>
      </c>
      <c r="F148" t="s">
        <v>779</v>
      </c>
      <c r="G148" s="178"/>
      <c r="H148" s="178"/>
      <c r="I148" s="178"/>
      <c r="J148" s="178"/>
      <c r="K148" s="178"/>
      <c r="L148" s="178"/>
      <c r="M148" s="178"/>
      <c r="AG148" s="1"/>
    </row>
    <row r="149" spans="4:33" ht="20.100000000000001" customHeight="1" x14ac:dyDescent="0.25">
      <c r="D149" s="237" t="s">
        <v>784</v>
      </c>
      <c r="E149" t="s">
        <v>778</v>
      </c>
      <c r="F149" t="s">
        <v>779</v>
      </c>
      <c r="G149" s="178"/>
      <c r="H149" s="178"/>
      <c r="I149" s="178"/>
      <c r="J149" s="178"/>
      <c r="K149" s="178"/>
      <c r="L149" s="178"/>
      <c r="M149" s="178"/>
      <c r="AG149" s="1"/>
    </row>
    <row r="150" spans="4:33" ht="20.100000000000001" customHeight="1" x14ac:dyDescent="0.25">
      <c r="D150" s="237" t="s">
        <v>785</v>
      </c>
      <c r="E150" t="s">
        <v>778</v>
      </c>
      <c r="F150" t="s">
        <v>779</v>
      </c>
      <c r="G150" s="178"/>
      <c r="H150" s="178"/>
      <c r="I150" s="178"/>
      <c r="J150" s="178"/>
      <c r="K150" s="178"/>
      <c r="L150" s="178"/>
      <c r="M150" s="178"/>
      <c r="AG150" s="1"/>
    </row>
    <row r="151" spans="4:33" ht="20.100000000000001" customHeight="1" x14ac:dyDescent="0.25">
      <c r="D151" s="237" t="s">
        <v>786</v>
      </c>
      <c r="E151" t="s">
        <v>778</v>
      </c>
      <c r="F151" t="s">
        <v>779</v>
      </c>
      <c r="G151" s="178"/>
      <c r="H151" s="178"/>
      <c r="I151" s="178"/>
      <c r="J151" s="178"/>
      <c r="K151" s="178"/>
      <c r="L151" s="178"/>
      <c r="M151" s="178"/>
      <c r="AG151" s="1"/>
    </row>
    <row r="152" spans="4:33" ht="20.100000000000001" customHeight="1" x14ac:dyDescent="0.25">
      <c r="D152" s="239" t="s">
        <v>787</v>
      </c>
      <c r="E152" s="8" t="s">
        <v>778</v>
      </c>
      <c r="F152" t="s">
        <v>779</v>
      </c>
      <c r="G152" s="178"/>
      <c r="H152" s="178"/>
      <c r="I152" s="178"/>
      <c r="J152" s="178"/>
      <c r="K152" s="178"/>
      <c r="L152" s="178"/>
      <c r="M152" s="178"/>
      <c r="AG152" s="1"/>
    </row>
    <row r="153" spans="4:33" ht="20.100000000000001" customHeight="1" x14ac:dyDescent="0.25">
      <c r="D153" s="239" t="s">
        <v>788</v>
      </c>
      <c r="E153" s="8" t="s">
        <v>778</v>
      </c>
      <c r="F153" t="s">
        <v>779</v>
      </c>
      <c r="G153" s="178"/>
      <c r="H153" s="178"/>
      <c r="I153" s="178"/>
      <c r="J153" s="178"/>
      <c r="K153" s="178"/>
      <c r="L153" s="178"/>
      <c r="M153" s="178"/>
      <c r="AG153" s="1"/>
    </row>
    <row r="154" spans="4:33" ht="20.100000000000001" customHeight="1" x14ac:dyDescent="0.25">
      <c r="D154" s="239" t="s">
        <v>789</v>
      </c>
      <c r="E154" s="8" t="s">
        <v>778</v>
      </c>
      <c r="F154" t="s">
        <v>779</v>
      </c>
      <c r="G154" s="178"/>
      <c r="H154" s="178"/>
      <c r="I154" s="178"/>
      <c r="J154" s="178"/>
      <c r="K154" s="178"/>
      <c r="L154" s="178"/>
      <c r="M154" s="178"/>
      <c r="AG154" s="1"/>
    </row>
    <row r="155" spans="4:33" ht="20.100000000000001" customHeight="1" x14ac:dyDescent="0.25">
      <c r="D155" s="239" t="s">
        <v>790</v>
      </c>
      <c r="E155" s="8" t="s">
        <v>778</v>
      </c>
      <c r="F155" t="s">
        <v>779</v>
      </c>
      <c r="G155" s="178"/>
      <c r="H155" s="178"/>
      <c r="I155" s="178"/>
      <c r="J155" s="178"/>
      <c r="K155" s="178"/>
      <c r="L155" s="178"/>
      <c r="M155" s="178"/>
      <c r="AG155" s="1"/>
    </row>
    <row r="156" spans="4:33" ht="20.100000000000001" customHeight="1" x14ac:dyDescent="0.25">
      <c r="D156" s="239" t="s">
        <v>791</v>
      </c>
      <c r="E156" s="8" t="s">
        <v>778</v>
      </c>
      <c r="F156" t="s">
        <v>779</v>
      </c>
      <c r="G156" s="178"/>
      <c r="H156" s="178"/>
      <c r="I156" s="178"/>
      <c r="J156" s="178"/>
      <c r="K156" s="178"/>
      <c r="L156" s="178"/>
      <c r="M156" s="178"/>
      <c r="AG156" s="1"/>
    </row>
    <row r="157" spans="4:33" ht="20.100000000000001" customHeight="1" x14ac:dyDescent="0.25">
      <c r="D157" s="239" t="s">
        <v>792</v>
      </c>
      <c r="E157" s="8" t="s">
        <v>778</v>
      </c>
      <c r="F157" t="s">
        <v>779</v>
      </c>
      <c r="G157" s="178"/>
      <c r="H157" s="178"/>
      <c r="I157" s="178"/>
      <c r="J157" s="178"/>
      <c r="K157" s="178"/>
      <c r="L157" s="178"/>
      <c r="M157" s="178"/>
      <c r="AG157" s="1"/>
    </row>
    <row r="158" spans="4:33" ht="20.100000000000001" customHeight="1" x14ac:dyDescent="0.25">
      <c r="D158" s="239" t="s">
        <v>793</v>
      </c>
      <c r="E158" s="8" t="s">
        <v>778</v>
      </c>
      <c r="F158" t="s">
        <v>779</v>
      </c>
      <c r="G158" s="178"/>
      <c r="H158" s="178"/>
      <c r="I158" s="178"/>
      <c r="J158" s="178"/>
      <c r="K158" s="178"/>
      <c r="L158" s="178"/>
      <c r="M158" s="178"/>
      <c r="AG158" s="1"/>
    </row>
    <row r="159" spans="4:33" ht="20.100000000000001" customHeight="1" x14ac:dyDescent="0.25">
      <c r="D159" s="239" t="s">
        <v>794</v>
      </c>
      <c r="E159" s="8" t="s">
        <v>778</v>
      </c>
      <c r="F159" t="s">
        <v>779</v>
      </c>
      <c r="G159" s="178"/>
      <c r="H159" s="178"/>
      <c r="I159" s="178"/>
      <c r="J159" s="178"/>
      <c r="K159" s="178"/>
      <c r="L159" s="178"/>
      <c r="M159" s="178"/>
      <c r="AG159" s="1"/>
    </row>
    <row r="160" spans="4:33" ht="20.100000000000001" customHeight="1" x14ac:dyDescent="0.25">
      <c r="D160" s="239" t="s">
        <v>721</v>
      </c>
      <c r="E160" s="8" t="s">
        <v>778</v>
      </c>
      <c r="F160" t="s">
        <v>779</v>
      </c>
      <c r="G160" s="178"/>
      <c r="H160" s="178"/>
      <c r="I160" s="178"/>
      <c r="J160" s="178"/>
      <c r="K160" s="178"/>
      <c r="L160" s="178"/>
      <c r="M160" s="178"/>
      <c r="AG160" s="1"/>
    </row>
    <row r="161" spans="4:33" ht="20.100000000000001" customHeight="1" x14ac:dyDescent="0.25">
      <c r="D161" s="238" t="s">
        <v>795</v>
      </c>
      <c r="E161" s="178" t="s">
        <v>796</v>
      </c>
      <c r="F161" s="178" t="s">
        <v>796</v>
      </c>
      <c r="G161" s="178"/>
      <c r="H161" s="178"/>
      <c r="I161" s="178"/>
      <c r="J161" s="178"/>
      <c r="K161" s="178"/>
      <c r="L161" s="178"/>
      <c r="M161" s="178"/>
      <c r="AG161" s="1"/>
    </row>
    <row r="162" spans="4:33" ht="20.100000000000001" customHeight="1" x14ac:dyDescent="0.25">
      <c r="D162" s="178" t="s">
        <v>715</v>
      </c>
      <c r="E162" s="178" t="s">
        <v>796</v>
      </c>
      <c r="F162" s="178" t="s">
        <v>796</v>
      </c>
      <c r="G162" s="178"/>
      <c r="H162" s="178"/>
      <c r="I162" s="178"/>
      <c r="J162" s="178"/>
      <c r="K162" s="178"/>
      <c r="L162" s="178"/>
      <c r="M162" s="17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02E0-759F-4FFB-8179-29E0B2CA4F0D}">
  <sheetPr>
    <tabColor theme="2" tint="-0.499984740745262"/>
  </sheetPr>
  <dimension ref="A1:Q238"/>
  <sheetViews>
    <sheetView showGridLines="0" topLeftCell="A90" workbookViewId="0" zoomScale="100" zoomScaleNormal="100">
      <selection activeCell="A55" sqref="A55"/>
    </sheetView>
  </sheetViews>
  <sheetFormatPr defaultRowHeight="15.75" x14ac:dyDescent="0.25"/>
  <cols>
    <col min="1" max="1" width="35" style="248" customWidth="1"/>
    <col min="2" max="2" width="5.28515625" style="248" customWidth="1"/>
    <col min="3" max="3" width="5.28515625" style="1" customWidth="1"/>
    <col min="4" max="16" width="35" style="1" customWidth="1"/>
    <col min="17" max="17" width="9.140625" style="1"/>
    <col min="18" max="16384" width="9.140625" style="248"/>
  </cols>
  <sheetData>
    <row r="1" spans="1:17" ht="30" customHeight="1" x14ac:dyDescent="0.35">
      <c r="A1" s="16" t="e" vm="1">
        <v>#VALUE!</v>
      </c>
      <c r="C1" s="248"/>
      <c r="D1" s="248"/>
      <c r="E1" s="248"/>
      <c r="F1" s="248"/>
      <c r="G1" s="248"/>
      <c r="H1" s="248"/>
      <c r="I1" s="248"/>
      <c r="J1" s="248"/>
      <c r="K1" s="248"/>
      <c r="L1" s="248"/>
      <c r="M1" s="248"/>
      <c r="N1" s="248"/>
      <c r="O1" s="248"/>
      <c r="P1" s="248"/>
      <c r="Q1" s="248"/>
    </row>
    <row r="2" spans="1:17" ht="20.100000000000001" customHeight="1" x14ac:dyDescent="0.25">
      <c r="A2"/>
      <c r="C2" s="248"/>
      <c r="D2" s="248"/>
      <c r="E2" s="248"/>
      <c r="F2" s="248"/>
      <c r="G2" s="248"/>
      <c r="H2" s="248"/>
      <c r="I2" s="248"/>
      <c r="J2" s="248"/>
      <c r="K2" s="248"/>
      <c r="L2" s="248"/>
      <c r="M2" s="248"/>
      <c r="N2" s="248"/>
      <c r="O2" s="248"/>
      <c r="P2" s="248"/>
      <c r="Q2" s="24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Pasture'!A1", "Pasture")</f>
        <v>Pasture</v>
      </c>
    </row>
    <row r="14" spans="1:17" ht="20.100000000000001" customHeight="1" x14ac:dyDescent="0.25">
      <c r="A14" s="5" t="str">
        <f>HYPERLINK("#'Input - Fertiliser'!A1", "Fertiliser")</f>
        <v>Fertiliser</v>
      </c>
    </row>
    <row r="15" spans="1:17" ht="20.100000000000001" customHeight="1" x14ac:dyDescent="0.25">
      <c r="A15" s="5" t="str">
        <f>HYPERLINK("#'Input - Fuel'!A1", "Fuel")</f>
        <v>Fuel</v>
      </c>
    </row>
    <row r="16" spans="1:17" ht="20.100000000000001" customHeight="1" x14ac:dyDescent="0.25">
      <c r="A16" s="5" t="str">
        <f>HYPERLINK("#'Input - Electricity'!A1", "Electricity")</f>
        <v>Electricity</v>
      </c>
    </row>
    <row r="17" spans="1:11" ht="20.100000000000001" customHeight="1" x14ac:dyDescent="0.25">
      <c r="A17" s="5" t="str">
        <f>HYPERLINK("#'Input - Farm Inputs'!A1", "Farm Inputs")</f>
        <v>Farm Inputs</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row>
    <row r="21" spans="1:11" ht="20.100000000000001" customHeight="1" x14ac:dyDescent="0.25">
      <c r="A21"/>
    </row>
    <row r="22" spans="1:11" ht="20.100000000000001" customHeight="1" x14ac:dyDescent="0.25">
      <c r="A22"/>
    </row>
    <row r="23" spans="1:11" ht="20.100000000000001" customHeight="1" x14ac:dyDescent="0.25">
      <c r="A23" s="6" t="s">
        <v>2</v>
      </c>
    </row>
    <row r="24" spans="1:11" ht="20.100000000000001" customHeight="1" x14ac:dyDescent="0.25">
      <c r="A24" s="5" t="str">
        <f>HYPERLINK("#'3.2.1.1-2 Enteric Methane'!A1", "3.2.1.1-2 Enteric methane")</f>
        <v>3.2.1.1-2 Enteric methane</v>
      </c>
    </row>
    <row r="25" spans="1:11" ht="20.100000000000001" customHeight="1" x14ac:dyDescent="0.25">
      <c r="A25" s="5" t="str">
        <f>HYPERLINK("#'4.2.1.1-2 Methane'!A1", "4.2.1.1-2 Manure methane")</f>
        <v>4.2.1.1-2 Manure methane</v>
      </c>
    </row>
    <row r="26" spans="1:11" ht="20.100000000000001" customHeight="1" x14ac:dyDescent="0.25">
      <c r="A26" s="5" t="str">
        <f>HYPERLINK("#'4.2.1.3-4 Soil direct N20'!A1", "4.2.1.3-4 Soil direct N2O")</f>
        <v>4.2.1.3-4 Soil direct N2O</v>
      </c>
    </row>
    <row r="27" spans="1:11" ht="20.100000000000001" customHeight="1" x14ac:dyDescent="0.25">
      <c r="A27" s="5" t="str">
        <f>HYPERLINK("#'4.2.1.5-6 Soil Atmos Dep'!A1", "4.2.1.5-6 Soil atm. deposition")</f>
        <v>4.2.1.5-6 Soil atm. deposition</v>
      </c>
    </row>
    <row r="28" spans="1:11" ht="20.100000000000001" customHeight="1" x14ac:dyDescent="0.25">
      <c r="A28" s="5" t="str">
        <f>HYPERLINK("#'4.2.1.7-8 Soil leach runoff'!A1", "4.2.1.7-8 Soil leach &amp; runoff")</f>
        <v>4.2.1.7-8 Soil leach &amp; runoff</v>
      </c>
    </row>
    <row r="29" spans="1:11" ht="20.100000000000001" customHeight="1" x14ac:dyDescent="0.25">
      <c r="A29" s="5" t="str">
        <f>HYPERLINK("#'5.1.1.1-2 Inorganic fert N2O'!A1", "5.1.1.1-2 Inorganic fert N2O")</f>
        <v>5.1.1.1-2 Inorganic fert N2O</v>
      </c>
    </row>
    <row r="30" spans="1:11" ht="20.100000000000001" customHeight="1" x14ac:dyDescent="0.25">
      <c r="A30" s="5" t="str">
        <f>HYPERLINK("#'5.1.1.3-4 Inorganic fert CO2'!A1", "5.1.1.3-4 Inorganic fert CO2")</f>
        <v>5.1.1.3-4 Inorganic fert CO2</v>
      </c>
    </row>
    <row r="31" spans="1:11" ht="20.100000000000001" customHeight="1" x14ac:dyDescent="0.25">
      <c r="A31" s="5" t="str">
        <f>HYPERLINK("#'5.2.1.1-2 Organic Fert N2O'!A1", "5.2.1.1-2 Organic fert N2O")</f>
        <v>5.2.1.1-2 Organic fert N2O</v>
      </c>
    </row>
    <row r="32" spans="1:11" ht="20.100000000000001" customHeight="1" x14ac:dyDescent="0.25">
      <c r="A32" s="5" t="str">
        <f>HYPERLINK("#'5.3.1.1-2 Lime CO2'!A1", "5.3.1.1-2 Lime CO2")</f>
        <v>5.3.1.1-2 Lime CO2</v>
      </c>
      <c r="D32" s="2" t="s">
        <v>1175</v>
      </c>
      <c r="K32" s="1" t="s">
        <v>337</v>
      </c>
    </row>
    <row r="33" spans="1:12" ht="20.100000000000001" customHeight="1" x14ac:dyDescent="0.25">
      <c r="A33" s="5" t="str">
        <f>HYPERLINK("#'5.4.1.1-4 Atmos deposition'!A1", "5.4.1.1-4 Atmos. deposition")</f>
        <v>5.4.1.1-4 Atmos. deposition</v>
      </c>
      <c r="D33" s="30" t="s">
        <v>384</v>
      </c>
      <c r="E33" s="30" t="s">
        <v>155</v>
      </c>
      <c r="F33" s="30" t="s">
        <v>385</v>
      </c>
      <c r="G33" s="30" t="s">
        <v>386</v>
      </c>
      <c r="H33" s="30" t="s">
        <v>387</v>
      </c>
      <c r="I33" s="30" t="s">
        <v>388</v>
      </c>
      <c r="K33" s="30" t="s">
        <v>309</v>
      </c>
      <c r="L33" s="30" t="s">
        <v>338</v>
      </c>
    </row>
    <row r="34" spans="1:12" ht="20.100000000000001" customHeight="1" x14ac:dyDescent="0.25">
      <c r="A34" s="5" t="str">
        <f>HYPERLINK("#'5.5.1.1-2 Leaching and runoff'!A1", "5.5.1.1-2 Leaching &amp; runoff")</f>
        <v>5.5.1.1-2 Leaching &amp; runoff</v>
      </c>
      <c r="D34" s="30" t="str" cm="1">
        <f t="array" ref="D34">Common_InputFunctions.Utility_DisplayArrayInTable(Scope3_SourceData.Scope3_Livestock_Data(), Table_SourceData_Scope3_Animals102[[#Headers],[Category]], 0, 2)</f>
        <v>Beef cattle</v>
      </c>
      <c r="E34" s="30" t="str" cm="1">
        <f t="array" ref="E34">Common_InputFunctions.Utility_DisplayArrayInTable(Scope3_SourceData.Scope3_Livestock_Data(), Table_SourceData_Scope3_Animals102[[#Headers],[Category]], 0, 2)</f>
        <v>Cattle, for manufacturing beef</v>
      </c>
      <c r="F34" s="30" t="str" cm="1">
        <f t="array" ref="F34">Common_InputFunctions.Utility_DisplayArrayInTable(Scope3_SourceData.Scope3_Livestock_Data(), Table_SourceData_Scope3_Animals102[[#Headers],[Category]], 0, 2)</f>
        <v>Australia</v>
      </c>
      <c r="G34" s="30" t="str" cm="1">
        <f t="array" ref="G34">Common_InputFunctions.Utility_DisplayArrayInTable(Scope3_SourceData.Scope3_Livestock_Data(), Table_SourceData_Scope3_Animals102[[#Headers],[Category]], 0, 2)</f>
        <v>kg liveweight</v>
      </c>
      <c r="H34" s="30" cm="1">
        <f t="array" ref="H34">Common_InputFunctions.Utility_DisplayArrayInTable(Scope3_SourceData.Scope3_Livestock_Data(), Table_SourceData_Scope3_Animals102[[#Headers],[Category]], 0, 2)</f>
        <v>11</v>
      </c>
      <c r="I34" s="30" t="str" cm="1">
        <f t="array" ref="I34">Common_InputFunctions.Utility_DisplayArrayInTable(Scope3_SourceData.Scope3_Livestock_Data(), Table_SourceData_Scope3_Animals102[[#Headers],[Category]], 0, 2)</f>
        <v>at market</v>
      </c>
      <c r="K34" s="30" t="s">
        <v>339</v>
      </c>
      <c r="L34" s="30" t="s">
        <v>340</v>
      </c>
    </row>
    <row r="35" spans="1:12" ht="20.100000000000001" customHeight="1" x14ac:dyDescent="0.25">
      <c r="A35" s="5" t="str">
        <f>HYPERLINK("#'6.2.1.1-2 Pasture residue N2O'!A1", "6.2.1.1-2 Pasture residue N2O")</f>
        <v>6.2.1.1-2 Pasture residue N2O</v>
      </c>
      <c r="D35" s="30" t="str" cm="1">
        <f t="array" ref="D35">Common_InputFunctions.Utility_DisplayArrayInTable(Scope3_SourceData.Scope3_Livestock_Data(), Table_SourceData_Scope3_Animals102[[#Headers],[Category]], 0, 2)</f>
        <v>Beef cattle</v>
      </c>
      <c r="E35" s="30" t="str" cm="1">
        <f t="array" ref="E35">Common_InputFunctions.Utility_DisplayArrayInTable(Scope3_SourceData.Scope3_Livestock_Data(), Table_SourceData_Scope3_Animals102[[#Headers],[Category]], 0, 2)</f>
        <v>Cattle, for manufacturing beef</v>
      </c>
      <c r="F35" s="30" t="str" cm="1">
        <f t="array" ref="F35">Common_InputFunctions.Utility_DisplayArrayInTable(Scope3_SourceData.Scope3_Livestock_Data(), Table_SourceData_Scope3_Animals102[[#Headers],[Category]], 0, 2)</f>
        <v>NSW</v>
      </c>
      <c r="G35" s="30" t="str" cm="1">
        <f t="array" ref="G35">Common_InputFunctions.Utility_DisplayArrayInTable(Scope3_SourceData.Scope3_Livestock_Data(), Table_SourceData_Scope3_Animals102[[#Headers],[Category]], 0, 2)</f>
        <v>kg liveweight</v>
      </c>
      <c r="H35" s="30" cm="1">
        <f t="array" ref="H35">Common_InputFunctions.Utility_DisplayArrayInTable(Scope3_SourceData.Scope3_Livestock_Data(), Table_SourceData_Scope3_Animals102[[#Headers],[Category]], 0, 2)</f>
        <v>8.2100000000000009</v>
      </c>
      <c r="I35" s="30" t="str" cm="1">
        <f t="array" ref="I35">Common_InputFunctions.Utility_DisplayArrayInTable(Scope3_SourceData.Scope3_Livestock_Data(), Table_SourceData_Scope3_Animals102[[#Headers],[Category]], 0, 2)</f>
        <v>at market</v>
      </c>
      <c r="K35" s="30" t="s">
        <v>340</v>
      </c>
      <c r="L35" s="30" t="s">
        <v>340</v>
      </c>
    </row>
    <row r="36" spans="1:12" ht="20.100000000000001" customHeight="1" x14ac:dyDescent="0.25">
      <c r="A36" s="5" t="str">
        <f>HYPERLINK("#'6.3.1.1-2 Leach runoff pasture'!A1", "6.3.1.1-2 Leach &amp; runoff (pasture)")</f>
        <v>6.3.1.1-2 Leach &amp; runoff (pasture)</v>
      </c>
      <c r="D36" s="30" t="str" cm="1">
        <f t="array" ref="D36">Common_InputFunctions.Utility_DisplayArrayInTable(Scope3_SourceData.Scope3_Livestock_Data(), Table_SourceData_Scope3_Animals102[[#Headers],[Category]], 0, 2)</f>
        <v>Beef cattle</v>
      </c>
      <c r="E36" s="30" t="str" cm="1">
        <f t="array" ref="E36">Common_InputFunctions.Utility_DisplayArrayInTable(Scope3_SourceData.Scope3_Livestock_Data(), Table_SourceData_Scope3_Animals102[[#Headers],[Category]], 0, 2)</f>
        <v>Cattle, for manufacturing beef</v>
      </c>
      <c r="F36" s="30" t="str" cm="1">
        <f t="array" ref="F36">Common_InputFunctions.Utility_DisplayArrayInTable(Scope3_SourceData.Scope3_Livestock_Data(), Table_SourceData_Scope3_Animals102[[#Headers],[Category]], 0, 2)</f>
        <v>NT</v>
      </c>
      <c r="G36" s="30" t="str" cm="1">
        <f t="array" ref="G36">Common_InputFunctions.Utility_DisplayArrayInTable(Scope3_SourceData.Scope3_Livestock_Data(), Table_SourceData_Scope3_Animals102[[#Headers],[Category]], 0, 2)</f>
        <v>kg liveweight</v>
      </c>
      <c r="H36" s="30" cm="1">
        <f t="array" ref="H36">Common_InputFunctions.Utility_DisplayArrayInTable(Scope3_SourceData.Scope3_Livestock_Data(), Table_SourceData_Scope3_Animals102[[#Headers],[Category]], 0, 2)</f>
        <v>12.2</v>
      </c>
      <c r="I36" s="30" t="str" cm="1">
        <f t="array" ref="I36">Common_InputFunctions.Utility_DisplayArrayInTable(Scope3_SourceData.Scope3_Livestock_Data(), Table_SourceData_Scope3_Animals102[[#Headers],[Category]], 0, 2)</f>
        <v>at market</v>
      </c>
      <c r="K36" s="30" t="s">
        <v>341</v>
      </c>
      <c r="L36" s="30" t="s">
        <v>341</v>
      </c>
    </row>
    <row r="37" spans="1:12" ht="20.100000000000001" customHeight="1" x14ac:dyDescent="0.25">
      <c r="A37" s="5" t="str">
        <f>HYPERLINK("#'8.1.1.1-2 Transport fuel'!A1", "8.1.1.1-2 Transport fuel")</f>
        <v>8.1.1.1-2 Transport fuel</v>
      </c>
      <c r="D37" s="30" t="str" cm="1">
        <f t="array" ref="D37">Common_InputFunctions.Utility_DisplayArrayInTable(Scope3_SourceData.Scope3_Livestock_Data(), Table_SourceData_Scope3_Animals102[[#Headers],[Category]], 0, 2)</f>
        <v>Beef cattle</v>
      </c>
      <c r="E37" s="30" t="str" cm="1">
        <f t="array" ref="E37">Common_InputFunctions.Utility_DisplayArrayInTable(Scope3_SourceData.Scope3_Livestock_Data(), Table_SourceData_Scope3_Animals102[[#Headers],[Category]], 0, 2)</f>
        <v>Cattle, for manufacturing beef</v>
      </c>
      <c r="F37" s="30" t="str" cm="1">
        <f t="array" ref="F37">Common_InputFunctions.Utility_DisplayArrayInTable(Scope3_SourceData.Scope3_Livestock_Data(), Table_SourceData_Scope3_Animals102[[#Headers],[Category]], 0, 2)</f>
        <v>QLD</v>
      </c>
      <c r="G37" s="30" t="str" cm="1">
        <f t="array" ref="G37">Common_InputFunctions.Utility_DisplayArrayInTable(Scope3_SourceData.Scope3_Livestock_Data(), Table_SourceData_Scope3_Animals102[[#Headers],[Category]], 0, 2)</f>
        <v>kg liveweight</v>
      </c>
      <c r="H37" s="30" cm="1">
        <f t="array" ref="H37">Common_InputFunctions.Utility_DisplayArrayInTable(Scope3_SourceData.Scope3_Livestock_Data(), Table_SourceData_Scope3_Animals102[[#Headers],[Category]], 0, 2)</f>
        <v>10.9</v>
      </c>
      <c r="I37" s="30" t="str" cm="1">
        <f t="array" ref="I37">Common_InputFunctions.Utility_DisplayArrayInTable(Scope3_SourceData.Scope3_Livestock_Data(), Table_SourceData_Scope3_Animals102[[#Headers],[Category]], 0, 2)</f>
        <v>at market</v>
      </c>
      <c r="K37" s="30" t="s">
        <v>342</v>
      </c>
      <c r="L37" s="30" t="s">
        <v>342</v>
      </c>
    </row>
    <row r="38" spans="1:12" ht="20.100000000000001" customHeight="1" x14ac:dyDescent="0.25">
      <c r="A38" s="5" t="str">
        <f>HYPERLINK("#'8.2.1.1-2 Stationary fuel'!A1", "8.2.1.1-2 Stationary fuel")</f>
        <v>8.2.1.1-2 Stationary fuel</v>
      </c>
      <c r="D38" s="30" t="str" cm="1">
        <f t="array" ref="D38">Common_InputFunctions.Utility_DisplayArrayInTable(Scope3_SourceData.Scope3_Livestock_Data(), Table_SourceData_Scope3_Animals102[[#Headers],[Category]], 0, 2)</f>
        <v>Beef cattle</v>
      </c>
      <c r="E38" s="30" t="str" cm="1">
        <f t="array" ref="E38">Common_InputFunctions.Utility_DisplayArrayInTable(Scope3_SourceData.Scope3_Livestock_Data(), Table_SourceData_Scope3_Animals102[[#Headers],[Category]], 0, 2)</f>
        <v>Cattle, for manufacturing beef</v>
      </c>
      <c r="F38" s="30" t="str" cm="1">
        <f t="array" ref="F38">Common_InputFunctions.Utility_DisplayArrayInTable(Scope3_SourceData.Scope3_Livestock_Data(), Table_SourceData_Scope3_Animals102[[#Headers],[Category]], 0, 2)</f>
        <v>SA</v>
      </c>
      <c r="G38" s="30" t="str" cm="1">
        <f t="array" ref="G38">Common_InputFunctions.Utility_DisplayArrayInTable(Scope3_SourceData.Scope3_Livestock_Data(), Table_SourceData_Scope3_Animals102[[#Headers],[Category]], 0, 2)</f>
        <v>kg liveweight</v>
      </c>
      <c r="H38" s="30" cm="1">
        <f t="array" ref="H38">Common_InputFunctions.Utility_DisplayArrayInTable(Scope3_SourceData.Scope3_Livestock_Data(), Table_SourceData_Scope3_Animals102[[#Headers],[Category]], 0, 2)</f>
        <v>7.63</v>
      </c>
      <c r="I38" s="30" t="str" cm="1">
        <f t="array" ref="I38">Common_InputFunctions.Utility_DisplayArrayInTable(Scope3_SourceData.Scope3_Livestock_Data(), Table_SourceData_Scope3_Animals102[[#Headers],[Category]], 0, 2)</f>
        <v>at market</v>
      </c>
      <c r="K38" s="30" t="s">
        <v>343</v>
      </c>
      <c r="L38" s="30" t="s">
        <v>343</v>
      </c>
    </row>
    <row r="39" spans="1:12" ht="20.100000000000001" customHeight="1" x14ac:dyDescent="0.25">
      <c r="A39" s="5" t="str">
        <f>HYPERLINK("#'14.1.1-2 Purchased electricity'!A1", "14.1.1-2 Purchased electricity")</f>
        <v>14.1.1-2 Purchased electricity</v>
      </c>
      <c r="D39" s="30" t="str" cm="1">
        <f t="array" ref="D39">Common_InputFunctions.Utility_DisplayArrayInTable(Scope3_SourceData.Scope3_Livestock_Data(), Table_SourceData_Scope3_Animals102[[#Headers],[Category]], 0, 2)</f>
        <v>Beef cattle</v>
      </c>
      <c r="E39" s="30" t="str" cm="1">
        <f t="array" ref="E39">Common_InputFunctions.Utility_DisplayArrayInTable(Scope3_SourceData.Scope3_Livestock_Data(), Table_SourceData_Scope3_Animals102[[#Headers],[Category]], 0, 2)</f>
        <v>Cattle, for manufacturing beef</v>
      </c>
      <c r="F39" s="30" t="str" cm="1">
        <f t="array" ref="F39">Common_InputFunctions.Utility_DisplayArrayInTable(Scope3_SourceData.Scope3_Livestock_Data(), Table_SourceData_Scope3_Animals102[[#Headers],[Category]], 0, 2)</f>
        <v>TAS</v>
      </c>
      <c r="G39" s="30" t="str" cm="1">
        <f t="array" ref="G39">Common_InputFunctions.Utility_DisplayArrayInTable(Scope3_SourceData.Scope3_Livestock_Data(), Table_SourceData_Scope3_Animals102[[#Headers],[Category]], 0, 2)</f>
        <v>kg liveweight</v>
      </c>
      <c r="H39" s="30" cm="1">
        <f t="array" ref="H39">Common_InputFunctions.Utility_DisplayArrayInTable(Scope3_SourceData.Scope3_Livestock_Data(), Table_SourceData_Scope3_Animals102[[#Headers],[Category]], 0, 2)</f>
        <v>8.75</v>
      </c>
      <c r="I39" s="30" t="str" cm="1">
        <f t="array" ref="I39">Common_InputFunctions.Utility_DisplayArrayInTable(Scope3_SourceData.Scope3_Livestock_Data(), Table_SourceData_Scope3_Animals102[[#Headers],[Category]], 0, 2)</f>
        <v>at market</v>
      </c>
      <c r="K39" s="30" t="s">
        <v>344</v>
      </c>
      <c r="L39" s="30" t="s">
        <v>345</v>
      </c>
    </row>
    <row r="40" spans="1:12" ht="20.100000000000001" customHeight="1" x14ac:dyDescent="0.25">
      <c r="A40" s="5" t="str">
        <f>HYPERLINK("#'15 Scope 3'!A1", "15 Scope 3")</f>
        <v>15 Scope 3</v>
      </c>
      <c r="D40" s="30" t="str" cm="1">
        <f t="array" ref="D40">Common_InputFunctions.Utility_DisplayArrayInTable(Scope3_SourceData.Scope3_Livestock_Data(), Table_SourceData_Scope3_Animals102[[#Headers],[Category]], 0, 2)</f>
        <v>Beef cattle</v>
      </c>
      <c r="E40" s="30" t="str" cm="1">
        <f t="array" ref="E40">Common_InputFunctions.Utility_DisplayArrayInTable(Scope3_SourceData.Scope3_Livestock_Data(), Table_SourceData_Scope3_Animals102[[#Headers],[Category]], 0, 2)</f>
        <v>Cattle, for manufacturing beef</v>
      </c>
      <c r="F40" s="30" t="str" cm="1">
        <f t="array" ref="F40">Common_InputFunctions.Utility_DisplayArrayInTable(Scope3_SourceData.Scope3_Livestock_Data(), Table_SourceData_Scope3_Animals102[[#Headers],[Category]], 0, 2)</f>
        <v>VIC</v>
      </c>
      <c r="G40" s="30" t="str" cm="1">
        <f t="array" ref="G40">Common_InputFunctions.Utility_DisplayArrayInTable(Scope3_SourceData.Scope3_Livestock_Data(), Table_SourceData_Scope3_Animals102[[#Headers],[Category]], 0, 2)</f>
        <v>kg liveweight</v>
      </c>
      <c r="H40" s="30" cm="1">
        <f t="array" ref="H40">Common_InputFunctions.Utility_DisplayArrayInTable(Scope3_SourceData.Scope3_Livestock_Data(), Table_SourceData_Scope3_Animals102[[#Headers],[Category]], 0, 2)</f>
        <v>8.17</v>
      </c>
      <c r="I40" s="30" t="str" cm="1">
        <f t="array" ref="I40">Common_InputFunctions.Utility_DisplayArrayInTable(Scope3_SourceData.Scope3_Livestock_Data(), Table_SourceData_Scope3_Animals102[[#Headers],[Category]], 0, 2)</f>
        <v>at market</v>
      </c>
      <c r="K40" s="30" t="s">
        <v>346</v>
      </c>
      <c r="L40" s="30" t="s">
        <v>345</v>
      </c>
    </row>
    <row r="41" spans="1:12" ht="20.100000000000001" customHeight="1" x14ac:dyDescent="0.25">
      <c r="A41" s="5" t="str">
        <f>HYPERLINK("#'Calcs - Manure sent off-site'!A1", "Calcs - Manure sent off-site")</f>
        <v>Calcs - Manure sent off-site</v>
      </c>
      <c r="D41" s="30" t="str" cm="1">
        <f t="array" ref="D41">Common_InputFunctions.Utility_DisplayArrayInTable(Scope3_SourceData.Scope3_Livestock_Data(), Table_SourceData_Scope3_Animals102[[#Headers],[Category]], 0, 2)</f>
        <v>Beef cattle</v>
      </c>
      <c r="E41" s="30" t="str" cm="1">
        <f t="array" ref="E41">Common_InputFunctions.Utility_DisplayArrayInTable(Scope3_SourceData.Scope3_Livestock_Data(), Table_SourceData_Scope3_Animals102[[#Headers],[Category]], 0, 2)</f>
        <v>Cattle, for manufacturing beef</v>
      </c>
      <c r="F41" s="30" t="str" cm="1">
        <f t="array" ref="F41">Common_InputFunctions.Utility_DisplayArrayInTable(Scope3_SourceData.Scope3_Livestock_Data(), Table_SourceData_Scope3_Animals102[[#Headers],[Category]], 0, 2)</f>
        <v>WA</v>
      </c>
      <c r="G41" s="30" t="str" cm="1">
        <f t="array" ref="G41">Common_InputFunctions.Utility_DisplayArrayInTable(Scope3_SourceData.Scope3_Livestock_Data(), Table_SourceData_Scope3_Animals102[[#Headers],[Category]], 0, 2)</f>
        <v>kg liveweight</v>
      </c>
      <c r="H41" s="30" cm="1">
        <f t="array" ref="H41">Common_InputFunctions.Utility_DisplayArrayInTable(Scope3_SourceData.Scope3_Livestock_Data(), Table_SourceData_Scope3_Animals102[[#Headers],[Category]], 0, 2)</f>
        <v>13.1</v>
      </c>
      <c r="I41" s="30" t="str" cm="1">
        <f t="array" ref="I41">Common_InputFunctions.Utility_DisplayArrayInTable(Scope3_SourceData.Scope3_Livestock_Data(), Table_SourceData_Scope3_Animals102[[#Headers],[Category]], 0, 2)</f>
        <v>at market</v>
      </c>
      <c r="K41" s="30" t="s">
        <v>251</v>
      </c>
      <c r="L41" s="30" t="s">
        <v>345</v>
      </c>
    </row>
    <row r="42" spans="1:12" ht="20.100000000000001" customHeight="1" x14ac:dyDescent="0.25">
      <c r="A42" s="5" t="str">
        <f>HYPERLINK("#'10.1.1-2 Solid waste treatment'!A1", "10.1.1-2 Solid waste treatment")</f>
        <v>10.1.1-2 Solid waste treatment</v>
      </c>
      <c r="D42" s="30" t="str" cm="1">
        <f t="array" ref="D42">Common_InputFunctions.Utility_DisplayArrayInTable(Scope3_SourceData.Scope3_Livestock_Data(), Table_SourceData_Scope3_Animals102[[#Headers],[Category]], 0, 2)</f>
        <v>Beef cattle</v>
      </c>
      <c r="E42" s="30" t="str" cm="1">
        <f t="array" ref="E42">Common_InputFunctions.Utility_DisplayArrayInTable(Scope3_SourceData.Scope3_Livestock_Data(), Table_SourceData_Scope3_Animals102[[#Headers],[Category]], 0, 2)</f>
        <v>Cattle, for prime beef</v>
      </c>
      <c r="F42" s="30" t="str" cm="1">
        <f t="array" ref="F42">Common_InputFunctions.Utility_DisplayArrayInTable(Scope3_SourceData.Scope3_Livestock_Data(), Table_SourceData_Scope3_Animals102[[#Headers],[Category]], 0, 2)</f>
        <v>Australia</v>
      </c>
      <c r="G42" s="30" t="str" cm="1">
        <f t="array" ref="G42">Common_InputFunctions.Utility_DisplayArrayInTable(Scope3_SourceData.Scope3_Livestock_Data(), Table_SourceData_Scope3_Animals102[[#Headers],[Category]], 0, 2)</f>
        <v>kg liveweight</v>
      </c>
      <c r="H42" s="30" cm="1">
        <f t="array" ref="H42">Common_InputFunctions.Utility_DisplayArrayInTable(Scope3_SourceData.Scope3_Livestock_Data(), Table_SourceData_Scope3_Animals102[[#Headers],[Category]], 0, 2)</f>
        <v>14.5</v>
      </c>
      <c r="I42" s="30" t="str" cm="1">
        <f t="array" ref="I42">Common_InputFunctions.Utility_DisplayArrayInTable(Scope3_SourceData.Scope3_Livestock_Data(), Table_SourceData_Scope3_Animals102[[#Headers],[Category]], 0, 2)</f>
        <v>at market</v>
      </c>
      <c r="K42" s="30" t="s">
        <v>347</v>
      </c>
      <c r="L42" s="30" t="s">
        <v>348</v>
      </c>
    </row>
    <row r="43" spans="1:12" ht="20.100000000000001" customHeight="1" x14ac:dyDescent="0.25">
      <c r="A43"/>
      <c r="D43" s="30" t="str" cm="1">
        <f t="array" ref="D43">Common_InputFunctions.Utility_DisplayArrayInTable(Scope3_SourceData.Scope3_Livestock_Data(), Table_SourceData_Scope3_Animals102[[#Headers],[Category]], 0, 2)</f>
        <v>Beef cattle</v>
      </c>
      <c r="E43" s="30" t="str" cm="1">
        <f t="array" ref="E43">Common_InputFunctions.Utility_DisplayArrayInTable(Scope3_SourceData.Scope3_Livestock_Data(), Table_SourceData_Scope3_Animals102[[#Headers],[Category]], 0, 2)</f>
        <v>Cattle, for prime beef</v>
      </c>
      <c r="F43" s="30" t="str" cm="1">
        <f t="array" ref="F43">Common_InputFunctions.Utility_DisplayArrayInTable(Scope3_SourceData.Scope3_Livestock_Data(), Table_SourceData_Scope3_Animals102[[#Headers],[Category]], 0, 2)</f>
        <v>NSW</v>
      </c>
      <c r="G43" s="30" t="str" cm="1">
        <f t="array" ref="G43">Common_InputFunctions.Utility_DisplayArrayInTable(Scope3_SourceData.Scope3_Livestock_Data(), Table_SourceData_Scope3_Animals102[[#Headers],[Category]], 0, 2)</f>
        <v>kg liveweight</v>
      </c>
      <c r="H43" s="30" cm="1">
        <f t="array" ref="H43">Common_InputFunctions.Utility_DisplayArrayInTable(Scope3_SourceData.Scope3_Livestock_Data(), Table_SourceData_Scope3_Animals102[[#Headers],[Category]], 0, 2)</f>
        <v>11.3</v>
      </c>
      <c r="I43" s="30" t="str" cm="1">
        <f t="array" ref="I43">Common_InputFunctions.Utility_DisplayArrayInTable(Scope3_SourceData.Scope3_Livestock_Data(), Table_SourceData_Scope3_Animals102[[#Headers],[Category]], 0, 2)</f>
        <v>at market</v>
      </c>
      <c r="K43" s="30" t="s">
        <v>349</v>
      </c>
      <c r="L43" s="30" t="s">
        <v>348</v>
      </c>
    </row>
    <row r="44" spans="1:12" ht="20.100000000000001" customHeight="1" x14ac:dyDescent="0.25">
      <c r="A44"/>
      <c r="D44" s="30" t="str" cm="1">
        <f t="array" ref="D44">Common_InputFunctions.Utility_DisplayArrayInTable(Scope3_SourceData.Scope3_Livestock_Data(), Table_SourceData_Scope3_Animals102[[#Headers],[Category]], 0, 2)</f>
        <v>Beef cattle</v>
      </c>
      <c r="E44" s="30" t="str" cm="1">
        <f t="array" ref="E44">Common_InputFunctions.Utility_DisplayArrayInTable(Scope3_SourceData.Scope3_Livestock_Data(), Table_SourceData_Scope3_Animals102[[#Headers],[Category]], 0, 2)</f>
        <v>Cattle, for prime beef</v>
      </c>
      <c r="F44" s="30" t="str" cm="1">
        <f t="array" ref="F44">Common_InputFunctions.Utility_DisplayArrayInTable(Scope3_SourceData.Scope3_Livestock_Data(), Table_SourceData_Scope3_Animals102[[#Headers],[Category]], 0, 2)</f>
        <v>NT</v>
      </c>
      <c r="G44" s="30" t="str" cm="1">
        <f t="array" ref="G44">Common_InputFunctions.Utility_DisplayArrayInTable(Scope3_SourceData.Scope3_Livestock_Data(), Table_SourceData_Scope3_Animals102[[#Headers],[Category]], 0, 2)</f>
        <v>kg liveweight</v>
      </c>
      <c r="H44" s="30" cm="1">
        <f t="array" ref="H44">Common_InputFunctions.Utility_DisplayArrayInTable(Scope3_SourceData.Scope3_Livestock_Data(), Table_SourceData_Scope3_Animals102[[#Headers],[Category]], 0, 2)</f>
        <v>18.899999999999999</v>
      </c>
      <c r="I44" s="30" t="str" cm="1">
        <f t="array" ref="I44">Common_InputFunctions.Utility_DisplayArrayInTable(Scope3_SourceData.Scope3_Livestock_Data(), Table_SourceData_Scope3_Animals102[[#Headers],[Category]], 0, 2)</f>
        <v>at market</v>
      </c>
      <c r="K44" s="30" t="s">
        <v>350</v>
      </c>
      <c r="L44" s="30" t="s">
        <v>348</v>
      </c>
    </row>
    <row r="45" spans="1:12" ht="20.100000000000001" customHeight="1" x14ac:dyDescent="0.25">
      <c r="A45" s="94" t="s">
        <v>1</v>
      </c>
      <c r="D45" s="30" t="str" cm="1">
        <f t="array" ref="D45">Common_InputFunctions.Utility_DisplayArrayInTable(Scope3_SourceData.Scope3_Livestock_Data(), Table_SourceData_Scope3_Animals102[[#Headers],[Category]], 0, 2)</f>
        <v>Beef cattle</v>
      </c>
      <c r="E45" s="30" t="str" cm="1">
        <f t="array" ref="E45">Common_InputFunctions.Utility_DisplayArrayInTable(Scope3_SourceData.Scope3_Livestock_Data(), Table_SourceData_Scope3_Animals102[[#Headers],[Category]], 0, 2)</f>
        <v>Cattle, for prime beef</v>
      </c>
      <c r="F45" s="30" t="str" cm="1">
        <f t="array" ref="F45">Common_InputFunctions.Utility_DisplayArrayInTable(Scope3_SourceData.Scope3_Livestock_Data(), Table_SourceData_Scope3_Animals102[[#Headers],[Category]], 0, 2)</f>
        <v>QLD</v>
      </c>
      <c r="G45" s="30" t="str" cm="1">
        <f t="array" ref="G45">Common_InputFunctions.Utility_DisplayArrayInTable(Scope3_SourceData.Scope3_Livestock_Data(), Table_SourceData_Scope3_Animals102[[#Headers],[Category]], 0, 2)</f>
        <v>kg liveweight</v>
      </c>
      <c r="H45" s="30" cm="1">
        <f t="array" ref="H45">Common_InputFunctions.Utility_DisplayArrayInTable(Scope3_SourceData.Scope3_Livestock_Data(), Table_SourceData_Scope3_Animals102[[#Headers],[Category]], 0, 2)</f>
        <v>13.9</v>
      </c>
      <c r="I45" s="30" t="str" cm="1">
        <f t="array" ref="I45">Common_InputFunctions.Utility_DisplayArrayInTable(Scope3_SourceData.Scope3_Livestock_Data(), Table_SourceData_Scope3_Animals102[[#Headers],[Category]], 0, 2)</f>
        <v>at market</v>
      </c>
      <c r="K45" s="30" t="s">
        <v>351</v>
      </c>
      <c r="L45" s="30" t="s">
        <v>352</v>
      </c>
    </row>
    <row r="46" spans="1:12" ht="20.100000000000001" customHeight="1" x14ac:dyDescent="0.25">
      <c r="A46" s="5" t="str">
        <f>HYPERLINK("#'Constants - Pasture Beef'!A1", "Constants - Pasture Beef")</f>
        <v>Constants - Pasture Beef</v>
      </c>
      <c r="D46" s="30" t="str" cm="1">
        <f t="array" ref="D46">Common_InputFunctions.Utility_DisplayArrayInTable(Scope3_SourceData.Scope3_Livestock_Data(), Table_SourceData_Scope3_Animals102[[#Headers],[Category]], 0, 2)</f>
        <v>Beef cattle</v>
      </c>
      <c r="E46" s="30" t="str" cm="1">
        <f t="array" ref="E46">Common_InputFunctions.Utility_DisplayArrayInTable(Scope3_SourceData.Scope3_Livestock_Data(), Table_SourceData_Scope3_Animals102[[#Headers],[Category]], 0, 2)</f>
        <v>Cattle, for prime beef</v>
      </c>
      <c r="F46" s="30" t="str" cm="1">
        <f t="array" ref="F46">Common_InputFunctions.Utility_DisplayArrayInTable(Scope3_SourceData.Scope3_Livestock_Data(), Table_SourceData_Scope3_Animals102[[#Headers],[Category]], 0, 2)</f>
        <v>SA</v>
      </c>
      <c r="G46" s="30" t="str" cm="1">
        <f t="array" ref="G46">Common_InputFunctions.Utility_DisplayArrayInTable(Scope3_SourceData.Scope3_Livestock_Data(), Table_SourceData_Scope3_Animals102[[#Headers],[Category]], 0, 2)</f>
        <v>kg liveweight</v>
      </c>
      <c r="H46" s="30" cm="1">
        <f t="array" ref="H46">Common_InputFunctions.Utility_DisplayArrayInTable(Scope3_SourceData.Scope3_Livestock_Data(), Table_SourceData_Scope3_Animals102[[#Headers],[Category]], 0, 2)</f>
        <v>12.3</v>
      </c>
      <c r="I46" s="30" t="str" cm="1">
        <f t="array" ref="I46">Common_InputFunctions.Utility_DisplayArrayInTable(Scope3_SourceData.Scope3_Livestock_Data(), Table_SourceData_Scope3_Animals102[[#Headers],[Category]], 0, 2)</f>
        <v>at market</v>
      </c>
      <c r="K46" s="30" t="s">
        <v>353</v>
      </c>
      <c r="L46" s="30" t="s">
        <v>352</v>
      </c>
    </row>
    <row r="47" spans="1:12" ht="20.100000000000001" customHeight="1" x14ac:dyDescent="0.25">
      <c r="A47" s="5" t="str">
        <f>HYPERLINK("#'Constants - Ag Residue'!A1", "Constants - Ag residue")</f>
        <v>Constants - Ag residue</v>
      </c>
      <c r="D47" s="30" t="str" cm="1">
        <f t="array" ref="D47">Common_InputFunctions.Utility_DisplayArrayInTable(Scope3_SourceData.Scope3_Livestock_Data(), Table_SourceData_Scope3_Animals102[[#Headers],[Category]], 0, 2)</f>
        <v>Beef cattle</v>
      </c>
      <c r="E47" s="30" t="str" cm="1">
        <f t="array" ref="E47">Common_InputFunctions.Utility_DisplayArrayInTable(Scope3_SourceData.Scope3_Livestock_Data(), Table_SourceData_Scope3_Animals102[[#Headers],[Category]], 0, 2)</f>
        <v>Cattle, for prime beef</v>
      </c>
      <c r="F47" s="30" t="str" cm="1">
        <f t="array" ref="F47">Common_InputFunctions.Utility_DisplayArrayInTable(Scope3_SourceData.Scope3_Livestock_Data(), Table_SourceData_Scope3_Animals102[[#Headers],[Category]], 0, 2)</f>
        <v>TAS</v>
      </c>
      <c r="G47" s="30" t="str" cm="1">
        <f t="array" ref="G47">Common_InputFunctions.Utility_DisplayArrayInTable(Scope3_SourceData.Scope3_Livestock_Data(), Table_SourceData_Scope3_Animals102[[#Headers],[Category]], 0, 2)</f>
        <v>kg liveweight</v>
      </c>
      <c r="H47" s="30" cm="1">
        <f t="array" ref="H47">Common_InputFunctions.Utility_DisplayArrayInTable(Scope3_SourceData.Scope3_Livestock_Data(), Table_SourceData_Scope3_Animals102[[#Headers],[Category]], 0, 2)</f>
        <v>11.5</v>
      </c>
      <c r="I47" s="30" t="str" cm="1">
        <f t="array" ref="I47">Common_InputFunctions.Utility_DisplayArrayInTable(Scope3_SourceData.Scope3_Livestock_Data(), Table_SourceData_Scope3_Animals102[[#Headers],[Category]], 0, 2)</f>
        <v>at market</v>
      </c>
      <c r="K47" s="30" t="s">
        <v>354</v>
      </c>
      <c r="L47" s="30" t="s">
        <v>352</v>
      </c>
    </row>
    <row r="48" spans="1:12" ht="20.100000000000001" customHeight="1" x14ac:dyDescent="0.25">
      <c r="A48" s="5" t="str">
        <f>HYPERLINK("#'Constants - Common Livestock'!A1", "Constants - Common Livestock")</f>
        <v>Constants - Common Livestock</v>
      </c>
      <c r="D48" s="30" t="str" cm="1">
        <f t="array" ref="D48">Common_InputFunctions.Utility_DisplayArrayInTable(Scope3_SourceData.Scope3_Livestock_Data(), Table_SourceData_Scope3_Animals102[[#Headers],[Category]], 0, 2)</f>
        <v>Beef cattle</v>
      </c>
      <c r="E48" s="30" t="str" cm="1">
        <f t="array" ref="E48">Common_InputFunctions.Utility_DisplayArrayInTable(Scope3_SourceData.Scope3_Livestock_Data(), Table_SourceData_Scope3_Animals102[[#Headers],[Category]], 0, 2)</f>
        <v>Cattle, for prime beef</v>
      </c>
      <c r="F48" s="30" t="str" cm="1">
        <f t="array" ref="F48">Common_InputFunctions.Utility_DisplayArrayInTable(Scope3_SourceData.Scope3_Livestock_Data(), Table_SourceData_Scope3_Animals102[[#Headers],[Category]], 0, 2)</f>
        <v>VIC</v>
      </c>
      <c r="G48" s="30" t="str" cm="1">
        <f t="array" ref="G48">Common_InputFunctions.Utility_DisplayArrayInTable(Scope3_SourceData.Scope3_Livestock_Data(), Table_SourceData_Scope3_Animals102[[#Headers],[Category]], 0, 2)</f>
        <v>kg liveweight</v>
      </c>
      <c r="H48" s="30" cm="1">
        <f t="array" ref="H48">Common_InputFunctions.Utility_DisplayArrayInTable(Scope3_SourceData.Scope3_Livestock_Data(), Table_SourceData_Scope3_Animals102[[#Headers],[Category]], 0, 2)</f>
        <v>11.5</v>
      </c>
      <c r="I48" s="30" t="str" cm="1">
        <f t="array" ref="I48">Common_InputFunctions.Utility_DisplayArrayInTable(Scope3_SourceData.Scope3_Livestock_Data(), Table_SourceData_Scope3_Animals102[[#Headers],[Category]], 0, 2)</f>
        <v>at market</v>
      </c>
      <c r="K48" s="30" t="s">
        <v>355</v>
      </c>
      <c r="L48" s="30" t="s">
        <v>352</v>
      </c>
    </row>
    <row r="49" spans="1:12" ht="20.100000000000001" customHeight="1" x14ac:dyDescent="0.25">
      <c r="A49" s="5" t="str">
        <f>HYPERLINK("#'Constants - Electricity'!A1", "Constants - Electricity")</f>
        <v>Constants - Electricity</v>
      </c>
      <c r="D49" s="30" t="str" cm="1">
        <f t="array" ref="D49">Common_InputFunctions.Utility_DisplayArrayInTable(Scope3_SourceData.Scope3_Livestock_Data(), Table_SourceData_Scope3_Animals102[[#Headers],[Category]], 0, 2)</f>
        <v>Beef cattle</v>
      </c>
      <c r="E49" s="30" t="str" cm="1">
        <f t="array" ref="E49">Common_InputFunctions.Utility_DisplayArrayInTable(Scope3_SourceData.Scope3_Livestock_Data(), Table_SourceData_Scope3_Animals102[[#Headers],[Category]], 0, 2)</f>
        <v>Cattle, for prime beef</v>
      </c>
      <c r="F49" s="30" t="str" cm="1">
        <f t="array" ref="F49">Common_InputFunctions.Utility_DisplayArrayInTable(Scope3_SourceData.Scope3_Livestock_Data(), Table_SourceData_Scope3_Animals102[[#Headers],[Category]], 0, 2)</f>
        <v>WA</v>
      </c>
      <c r="G49" s="30" t="str" cm="1">
        <f t="array" ref="G49">Common_InputFunctions.Utility_DisplayArrayInTable(Scope3_SourceData.Scope3_Livestock_Data(), Table_SourceData_Scope3_Animals102[[#Headers],[Category]], 0, 2)</f>
        <v>kg liveweight</v>
      </c>
      <c r="H49" s="30" cm="1">
        <f t="array" ref="H49">Common_InputFunctions.Utility_DisplayArrayInTable(Scope3_SourceData.Scope3_Livestock_Data(), Table_SourceData_Scope3_Animals102[[#Headers],[Category]], 0, 2)</f>
        <v>20.8</v>
      </c>
      <c r="I49" s="30" t="str" cm="1">
        <f t="array" ref="I49">Common_InputFunctions.Utility_DisplayArrayInTable(Scope3_SourceData.Scope3_Livestock_Data(), Table_SourceData_Scope3_Animals102[[#Headers],[Category]], 0, 2)</f>
        <v>at market</v>
      </c>
      <c r="K49" s="1" t="s">
        <v>356</v>
      </c>
      <c r="L49" s="1" t="s">
        <v>356</v>
      </c>
    </row>
    <row r="50" spans="1:12" ht="20.100000000000001" customHeight="1" x14ac:dyDescent="0.25">
      <c r="A50" s="5" t="str">
        <f>HYPERLINK("#'Constants - Fertiliser'!A1", "Constants - Fertiliser")</f>
        <v>Constants - Fertiliser</v>
      </c>
      <c r="D50" s="30" t="str" cm="1">
        <f t="array" ref="D50">Common_InputFunctions.Utility_DisplayArrayInTable(Scope3_SourceData.Scope3_Livestock_Data(), Table_SourceData_Scope3_Animals102[[#Headers],[Category]], 0, 2)</f>
        <v>Beef cattle</v>
      </c>
      <c r="E50" s="30" t="str" cm="1">
        <f t="array" ref="E50">Common_InputFunctions.Utility_DisplayArrayInTable(Scope3_SourceData.Scope3_Livestock_Data(), Table_SourceData_Scope3_Animals102[[#Headers],[Category]], 0, 2)</f>
        <v>Cattle, weaners</v>
      </c>
      <c r="F50" s="30" t="str" cm="1">
        <f t="array" ref="F50">Common_InputFunctions.Utility_DisplayArrayInTable(Scope3_SourceData.Scope3_Livestock_Data(), Table_SourceData_Scope3_Animals102[[#Headers],[Category]], 0, 2)</f>
        <v>Australia</v>
      </c>
      <c r="G50" s="30" t="str" cm="1">
        <f t="array" ref="G50">Common_InputFunctions.Utility_DisplayArrayInTable(Scope3_SourceData.Scope3_Livestock_Data(), Table_SourceData_Scope3_Animals102[[#Headers],[Category]], 0, 2)</f>
        <v>kg liveweight</v>
      </c>
      <c r="H50" s="30" cm="1">
        <f t="array" ref="H50">Common_InputFunctions.Utility_DisplayArrayInTable(Scope3_SourceData.Scope3_Livestock_Data(), Table_SourceData_Scope3_Animals102[[#Headers],[Category]], 0, 2)</f>
        <v>15.5</v>
      </c>
      <c r="I50" s="30" t="str" cm="1">
        <f t="array" ref="I50">Common_InputFunctions.Utility_DisplayArrayInTable(Scope3_SourceData.Scope3_Livestock_Data(), Table_SourceData_Scope3_Animals102[[#Headers],[Category]], 0, 2)</f>
        <v>at market</v>
      </c>
    </row>
    <row r="51" spans="1:12" ht="20.100000000000001" customHeight="1" x14ac:dyDescent="0.25">
      <c r="A51" s="5" t="str">
        <f>HYPERLINK("#'Constants - Fuel'!A1", "Constants - Fuel")</f>
        <v>Constants - Fuel</v>
      </c>
      <c r="D51" s="30" t="str" cm="1">
        <f t="array" ref="D51">Common_InputFunctions.Utility_DisplayArrayInTable(Scope3_SourceData.Scope3_Livestock_Data(), Table_SourceData_Scope3_Animals102[[#Headers],[Category]], 0, 2)</f>
        <v>Beef cattle</v>
      </c>
      <c r="E51" s="30" t="str" cm="1">
        <f t="array" ref="E51">Common_InputFunctions.Utility_DisplayArrayInTable(Scope3_SourceData.Scope3_Livestock_Data(), Table_SourceData_Scope3_Animals102[[#Headers],[Category]], 0, 2)</f>
        <v>Cattle, weaners</v>
      </c>
      <c r="F51" s="30" t="str" cm="1">
        <f t="array" ref="F51">Common_InputFunctions.Utility_DisplayArrayInTable(Scope3_SourceData.Scope3_Livestock_Data(), Table_SourceData_Scope3_Animals102[[#Headers],[Category]], 0, 2)</f>
        <v>NSW</v>
      </c>
      <c r="G51" s="30" t="str" cm="1">
        <f t="array" ref="G51">Common_InputFunctions.Utility_DisplayArrayInTable(Scope3_SourceData.Scope3_Livestock_Data(), Table_SourceData_Scope3_Animals102[[#Headers],[Category]], 0, 2)</f>
        <v>kg liveweight</v>
      </c>
      <c r="H51" s="30" cm="1">
        <f t="array" ref="H51">Common_InputFunctions.Utility_DisplayArrayInTable(Scope3_SourceData.Scope3_Livestock_Data(), Table_SourceData_Scope3_Animals102[[#Headers],[Category]], 0, 2)</f>
        <v>12.7</v>
      </c>
      <c r="I51" s="30" t="str" cm="1">
        <f t="array" ref="I51">Common_InputFunctions.Utility_DisplayArrayInTable(Scope3_SourceData.Scope3_Livestock_Data(), Table_SourceData_Scope3_Animals102[[#Headers],[Category]], 0, 2)</f>
        <v>at market</v>
      </c>
    </row>
    <row r="52" spans="1:12" ht="20.100000000000001" customHeight="1" x14ac:dyDescent="0.25">
      <c r="A52" s="128" t="str">
        <f>HYPERLINK("#'Constants - Scope 3'!A1", "Constants - Scope 3")</f>
        <v>Constants - Scope 3</v>
      </c>
      <c r="D52" s="30" t="str" cm="1">
        <f t="array" ref="D52">Common_InputFunctions.Utility_DisplayArrayInTable(Scope3_SourceData.Scope3_Livestock_Data(), Table_SourceData_Scope3_Animals102[[#Headers],[Category]], 0, 2)</f>
        <v>Beef cattle</v>
      </c>
      <c r="E52" s="30" t="str" cm="1">
        <f t="array" ref="E52">Common_InputFunctions.Utility_DisplayArrayInTable(Scope3_SourceData.Scope3_Livestock_Data(), Table_SourceData_Scope3_Animals102[[#Headers],[Category]], 0, 2)</f>
        <v>Cattle, weaners</v>
      </c>
      <c r="F52" s="30" t="str" cm="1">
        <f t="array" ref="F52">Common_InputFunctions.Utility_DisplayArrayInTable(Scope3_SourceData.Scope3_Livestock_Data(), Table_SourceData_Scope3_Animals102[[#Headers],[Category]], 0, 2)</f>
        <v>NT</v>
      </c>
      <c r="G52" s="30" t="str" cm="1">
        <f t="array" ref="G52">Common_InputFunctions.Utility_DisplayArrayInTable(Scope3_SourceData.Scope3_Livestock_Data(), Table_SourceData_Scope3_Animals102[[#Headers],[Category]], 0, 2)</f>
        <v>kg liveweight</v>
      </c>
      <c r="H52" s="30" cm="1">
        <f t="array" ref="H52">Common_InputFunctions.Utility_DisplayArrayInTable(Scope3_SourceData.Scope3_Livestock_Data(), Table_SourceData_Scope3_Animals102[[#Headers],[Category]], 0, 2)</f>
        <v>19.100000000000001</v>
      </c>
      <c r="I52" s="30" t="str" cm="1">
        <f t="array" ref="I52">Common_InputFunctions.Utility_DisplayArrayInTable(Scope3_SourceData.Scope3_Livestock_Data(), Table_SourceData_Scope3_Animals102[[#Headers],[Category]], 0, 2)</f>
        <v>at market</v>
      </c>
    </row>
    <row r="53" spans="1:12" ht="20.100000000000001" customHeight="1" x14ac:dyDescent="0.25">
      <c r="A53" s="5" t="str">
        <f>HYPERLINK("#'Constants - Common'!A1", "Constants - Common")</f>
        <v>Constants - Common</v>
      </c>
      <c r="D53" s="30" t="str" cm="1">
        <f t="array" ref="D53">Common_InputFunctions.Utility_DisplayArrayInTable(Scope3_SourceData.Scope3_Livestock_Data(), Table_SourceData_Scope3_Animals102[[#Headers],[Category]], 0, 2)</f>
        <v>Beef cattle</v>
      </c>
      <c r="E53" s="30" t="str" cm="1">
        <f t="array" ref="E53">Common_InputFunctions.Utility_DisplayArrayInTable(Scope3_SourceData.Scope3_Livestock_Data(), Table_SourceData_Scope3_Animals102[[#Headers],[Category]], 0, 2)</f>
        <v>Cattle, weaners</v>
      </c>
      <c r="F53" s="30" t="str" cm="1">
        <f t="array" ref="F53">Common_InputFunctions.Utility_DisplayArrayInTable(Scope3_SourceData.Scope3_Livestock_Data(), Table_SourceData_Scope3_Animals102[[#Headers],[Category]], 0, 2)</f>
        <v>QLD</v>
      </c>
      <c r="G53" s="30" t="str" cm="1">
        <f t="array" ref="G53">Common_InputFunctions.Utility_DisplayArrayInTable(Scope3_SourceData.Scope3_Livestock_Data(), Table_SourceData_Scope3_Animals102[[#Headers],[Category]], 0, 2)</f>
        <v>kg liveweight</v>
      </c>
      <c r="H53" s="30" cm="1">
        <f t="array" ref="H53">Common_InputFunctions.Utility_DisplayArrayInTable(Scope3_SourceData.Scope3_Livestock_Data(), Table_SourceData_Scope3_Animals102[[#Headers],[Category]], 0, 2)</f>
        <v>20.5</v>
      </c>
      <c r="I53" s="30" t="str" cm="1">
        <f t="array" ref="I53">Common_InputFunctions.Utility_DisplayArrayInTable(Scope3_SourceData.Scope3_Livestock_Data(), Table_SourceData_Scope3_Animals102[[#Headers],[Category]], 0, 2)</f>
        <v>at market</v>
      </c>
    </row>
    <row r="54" spans="1:12" ht="20.100000000000001" customHeight="1" x14ac:dyDescent="0.25">
      <c r="A54" s="5" t="str">
        <f>HYPERLINK("#'Acknowledgements'!A1", "Acknowledgements")</f>
        <v>Acknowledgements</v>
      </c>
      <c r="D54" s="30" t="str" cm="1">
        <f t="array" ref="D54">Common_InputFunctions.Utility_DisplayArrayInTable(Scope3_SourceData.Scope3_Livestock_Data(), Table_SourceData_Scope3_Animals102[[#Headers],[Category]], 0, 2)</f>
        <v>Beef cattle</v>
      </c>
      <c r="E54" s="30" t="str" cm="1">
        <f t="array" ref="E54">Common_InputFunctions.Utility_DisplayArrayInTable(Scope3_SourceData.Scope3_Livestock_Data(), Table_SourceData_Scope3_Animals102[[#Headers],[Category]], 0, 2)</f>
        <v>Cattle, weaners</v>
      </c>
      <c r="F54" s="30" t="str" cm="1">
        <f t="array" ref="F54">Common_InputFunctions.Utility_DisplayArrayInTable(Scope3_SourceData.Scope3_Livestock_Data(), Table_SourceData_Scope3_Animals102[[#Headers],[Category]], 0, 2)</f>
        <v>SA</v>
      </c>
      <c r="G54" s="30" t="str" cm="1">
        <f t="array" ref="G54">Common_InputFunctions.Utility_DisplayArrayInTable(Scope3_SourceData.Scope3_Livestock_Data(), Table_SourceData_Scope3_Animals102[[#Headers],[Category]], 0, 2)</f>
        <v>kg liveweight</v>
      </c>
      <c r="H54" s="30" cm="1">
        <f t="array" ref="H54">Common_InputFunctions.Utility_DisplayArrayInTable(Scope3_SourceData.Scope3_Livestock_Data(), Table_SourceData_Scope3_Animals102[[#Headers],[Category]], 0, 2)</f>
        <v>10.8</v>
      </c>
      <c r="I54" s="30" t="str" cm="1">
        <f t="array" ref="I54">Common_InputFunctions.Utility_DisplayArrayInTable(Scope3_SourceData.Scope3_Livestock_Data(), Table_SourceData_Scope3_Animals102[[#Headers],[Category]], 0, 2)</f>
        <v>at market</v>
      </c>
    </row>
    <row r="55" spans="1:12" ht="20.100000000000001" customHeight="1" x14ac:dyDescent="0.25">
      <c r="A55" s="5" t="str">
        <f>HYPERLINK("#'Constants - Solid Waste'!A1", "Constants - Solid Waste")</f>
        <v>Constants - Solid Waste</v>
      </c>
      <c r="D55" s="30" t="str" cm="1">
        <f t="array" ref="D55">Common_InputFunctions.Utility_DisplayArrayInTable(Scope3_SourceData.Scope3_Livestock_Data(), Table_SourceData_Scope3_Animals102[[#Headers],[Category]], 0, 2)</f>
        <v>Beef cattle</v>
      </c>
      <c r="E55" s="30" t="str" cm="1">
        <f t="array" ref="E55">Common_InputFunctions.Utility_DisplayArrayInTable(Scope3_SourceData.Scope3_Livestock_Data(), Table_SourceData_Scope3_Animals102[[#Headers],[Category]], 0, 2)</f>
        <v>Cattle, weaners</v>
      </c>
      <c r="F55" s="30" t="str" cm="1">
        <f t="array" ref="F55">Common_InputFunctions.Utility_DisplayArrayInTable(Scope3_SourceData.Scope3_Livestock_Data(), Table_SourceData_Scope3_Animals102[[#Headers],[Category]], 0, 2)</f>
        <v>TAS</v>
      </c>
      <c r="G55" s="30" t="str" cm="1">
        <f t="array" ref="G55">Common_InputFunctions.Utility_DisplayArrayInTable(Scope3_SourceData.Scope3_Livestock_Data(), Table_SourceData_Scope3_Animals102[[#Headers],[Category]], 0, 2)</f>
        <v>kg liveweight</v>
      </c>
      <c r="H55" s="30" cm="1">
        <f t="array" ref="H55">Common_InputFunctions.Utility_DisplayArrayInTable(Scope3_SourceData.Scope3_Livestock_Data(), Table_SourceData_Scope3_Animals102[[#Headers],[Category]], 0, 2)</f>
        <v>13.4</v>
      </c>
      <c r="I55" s="30" t="str" cm="1">
        <f t="array" ref="I55">Common_InputFunctions.Utility_DisplayArrayInTable(Scope3_SourceData.Scope3_Livestock_Data(), Table_SourceData_Scope3_Animals102[[#Headers],[Category]], 0, 2)</f>
        <v>at market</v>
      </c>
    </row>
    <row r="56" spans="1:12" ht="20.100000000000001" customHeight="1" x14ac:dyDescent="0.25">
      <c r="A56"/>
      <c r="D56" s="30" t="str" cm="1">
        <f t="array" ref="D56">Common_InputFunctions.Utility_DisplayArrayInTable(Scope3_SourceData.Scope3_Livestock_Data(), Table_SourceData_Scope3_Animals102[[#Headers],[Category]], 0, 2)</f>
        <v>Beef cattle</v>
      </c>
      <c r="E56" s="30" t="str" cm="1">
        <f t="array" ref="E56">Common_InputFunctions.Utility_DisplayArrayInTable(Scope3_SourceData.Scope3_Livestock_Data(), Table_SourceData_Scope3_Animals102[[#Headers],[Category]], 0, 2)</f>
        <v>Cattle, weaners</v>
      </c>
      <c r="F56" s="30" t="str" cm="1">
        <f t="array" ref="F56">Common_InputFunctions.Utility_DisplayArrayInTable(Scope3_SourceData.Scope3_Livestock_Data(), Table_SourceData_Scope3_Animals102[[#Headers],[Category]], 0, 2)</f>
        <v>VIC</v>
      </c>
      <c r="G56" s="30" t="str" cm="1">
        <f t="array" ref="G56">Common_InputFunctions.Utility_DisplayArrayInTable(Scope3_SourceData.Scope3_Livestock_Data(), Table_SourceData_Scope3_Animals102[[#Headers],[Category]], 0, 2)</f>
        <v>kg liveweight</v>
      </c>
      <c r="H56" s="30" cm="1">
        <f t="array" ref="H56">Common_InputFunctions.Utility_DisplayArrayInTable(Scope3_SourceData.Scope3_Livestock_Data(), Table_SourceData_Scope3_Animals102[[#Headers],[Category]], 0, 2)</f>
        <v>12</v>
      </c>
      <c r="I56" s="30" t="str" cm="1">
        <f t="array" ref="I56">Common_InputFunctions.Utility_DisplayArrayInTable(Scope3_SourceData.Scope3_Livestock_Data(), Table_SourceData_Scope3_Animals102[[#Headers],[Category]], 0, 2)</f>
        <v>at market</v>
      </c>
    </row>
    <row r="57" spans="1:12" ht="20.100000000000001" customHeight="1" x14ac:dyDescent="0.25">
      <c r="A57"/>
      <c r="D57" s="30" t="str" cm="1">
        <f t="array" ref="D57">Common_InputFunctions.Utility_DisplayArrayInTable(Scope3_SourceData.Scope3_Livestock_Data(), Table_SourceData_Scope3_Animals102[[#Headers],[Category]], 0, 2)</f>
        <v>Beef cattle</v>
      </c>
      <c r="E57" s="30" t="str" cm="1">
        <f t="array" ref="E57">Common_InputFunctions.Utility_DisplayArrayInTable(Scope3_SourceData.Scope3_Livestock_Data(), Table_SourceData_Scope3_Animals102[[#Headers],[Category]], 0, 2)</f>
        <v>Cattle, weaners</v>
      </c>
      <c r="F57" s="30" t="str" cm="1">
        <f t="array" ref="F57">Common_InputFunctions.Utility_DisplayArrayInTable(Scope3_SourceData.Scope3_Livestock_Data(), Table_SourceData_Scope3_Animals102[[#Headers],[Category]], 0, 2)</f>
        <v>WA</v>
      </c>
      <c r="G57" s="30" t="str" cm="1">
        <f t="array" ref="G57">Common_InputFunctions.Utility_DisplayArrayInTable(Scope3_SourceData.Scope3_Livestock_Data(), Table_SourceData_Scope3_Animals102[[#Headers],[Category]], 0, 2)</f>
        <v>kg liveweight</v>
      </c>
      <c r="H57" s="30" cm="1">
        <f t="array" ref="H57">Common_InputFunctions.Utility_DisplayArrayInTable(Scope3_SourceData.Scope3_Livestock_Data(), Table_SourceData_Scope3_Animals102[[#Headers],[Category]], 0, 2)</f>
        <v>12.4</v>
      </c>
      <c r="I57" s="30" t="str" cm="1">
        <f t="array" ref="I57">Common_InputFunctions.Utility_DisplayArrayInTable(Scope3_SourceData.Scope3_Livestock_Data(), Table_SourceData_Scope3_Animals102[[#Headers],[Category]], 0, 2)</f>
        <v>at market</v>
      </c>
    </row>
    <row r="58" spans="1:12" ht="20.100000000000001" customHeight="1" x14ac:dyDescent="0.25">
      <c r="A58"/>
      <c r="D58" s="30" t="str" cm="1">
        <f t="array" ref="D58">Common_InputFunctions.Utility_DisplayArrayInTable(Scope3_SourceData.Scope3_Livestock_Data(), Table_SourceData_Scope3_Animals102[[#Headers],[Category]], 0, 2)</f>
        <v>Chickens</v>
      </c>
      <c r="E58" s="30" t="str" cm="1">
        <f t="array" ref="E58">Common_InputFunctions.Utility_DisplayArrayInTable(Scope3_SourceData.Scope3_Livestock_Data(), Table_SourceData_Scope3_Animals102[[#Headers],[Category]], 0, 2)</f>
        <v>Chickens</v>
      </c>
      <c r="F58" s="30" t="str" cm="1">
        <f t="array" ref="F58">Common_InputFunctions.Utility_DisplayArrayInTable(Scope3_SourceData.Scope3_Livestock_Data(), Table_SourceData_Scope3_Animals102[[#Headers],[Category]], 0, 2)</f>
        <v>Australia</v>
      </c>
      <c r="G58" s="30" t="str" cm="1">
        <f t="array" ref="G58">Common_InputFunctions.Utility_DisplayArrayInTable(Scope3_SourceData.Scope3_Livestock_Data(), Table_SourceData_Scope3_Animals102[[#Headers],[Category]], 0, 2)</f>
        <v>kg liveweight</v>
      </c>
      <c r="H58" s="30" cm="1">
        <f t="array" ref="H58">Common_InputFunctions.Utility_DisplayArrayInTable(Scope3_SourceData.Scope3_Livestock_Data(), Table_SourceData_Scope3_Animals102[[#Headers],[Category]], 0, 2)</f>
        <v>1.36</v>
      </c>
      <c r="I58" s="30" t="str" cm="1">
        <f t="array" ref="I58">Common_InputFunctions.Utility_DisplayArrayInTable(Scope3_SourceData.Scope3_Livestock_Data(), Table_SourceData_Scope3_Animals102[[#Headers],[Category]], 0, 2)</f>
        <v>at market</v>
      </c>
    </row>
    <row r="59" spans="1:12" ht="20.100000000000001" customHeight="1" x14ac:dyDescent="0.25">
      <c r="A59"/>
      <c r="D59" s="30" t="str" cm="1">
        <f t="array" ref="D59">Common_InputFunctions.Utility_DisplayArrayInTable(Scope3_SourceData.Scope3_Livestock_Data(), Table_SourceData_Scope3_Animals102[[#Headers],[Category]], 0, 2)</f>
        <v>Dairy cattle</v>
      </c>
      <c r="E59" s="30" t="str" cm="1">
        <f t="array" ref="E59">Common_InputFunctions.Utility_DisplayArrayInTable(Scope3_SourceData.Scope3_Livestock_Data(), Table_SourceData_Scope3_Animals102[[#Headers],[Category]], 0, 2)</f>
        <v>Dairy cows</v>
      </c>
      <c r="F59" s="30" t="str" cm="1">
        <f t="array" ref="F59">Common_InputFunctions.Utility_DisplayArrayInTable(Scope3_SourceData.Scope3_Livestock_Data(), Table_SourceData_Scope3_Animals102[[#Headers],[Category]], 0, 2)</f>
        <v>VIC</v>
      </c>
      <c r="G59" s="30" t="str" cm="1">
        <f t="array" ref="G59">Common_InputFunctions.Utility_DisplayArrayInTable(Scope3_SourceData.Scope3_Livestock_Data(), Table_SourceData_Scope3_Animals102[[#Headers],[Category]], 0, 2)</f>
        <v>kg liveweight</v>
      </c>
      <c r="H59" s="30" cm="1">
        <f t="array" ref="H59">Common_InputFunctions.Utility_DisplayArrayInTable(Scope3_SourceData.Scope3_Livestock_Data(), Table_SourceData_Scope3_Animals102[[#Headers],[Category]], 0, 2)</f>
        <v>4.41</v>
      </c>
      <c r="I59" s="30" t="str" cm="1">
        <f t="array" ref="I59">Common_InputFunctions.Utility_DisplayArrayInTable(Scope3_SourceData.Scope3_Livestock_Data(), Table_SourceData_Scope3_Animals102[[#Headers],[Category]], 0, 2)</f>
        <v>at market</v>
      </c>
    </row>
    <row r="60" spans="1:12" ht="20.100000000000001" customHeight="1" x14ac:dyDescent="0.25">
      <c r="A60"/>
      <c r="D60" s="30" t="str" cm="1">
        <f t="array" ref="D60">Common_InputFunctions.Utility_DisplayArrayInTable(Scope3_SourceData.Scope3_Livestock_Data(), Table_SourceData_Scope3_Animals102[[#Headers],[Category]], 0, 2)</f>
        <v>Pigs</v>
      </c>
      <c r="E60" s="30" t="str" cm="1">
        <f t="array" ref="E60">Common_InputFunctions.Utility_DisplayArrayInTable(Scope3_SourceData.Scope3_Livestock_Data(), Table_SourceData_Scope3_Animals102[[#Headers],[Category]], 0, 2)</f>
        <v>Pigs</v>
      </c>
      <c r="F60" s="30" t="str" cm="1">
        <f t="array" ref="F60">Common_InputFunctions.Utility_DisplayArrayInTable(Scope3_SourceData.Scope3_Livestock_Data(), Table_SourceData_Scope3_Animals102[[#Headers],[Category]], 0, 2)</f>
        <v>Australia</v>
      </c>
      <c r="G60" s="30" t="str" cm="1">
        <f t="array" ref="G60">Common_InputFunctions.Utility_DisplayArrayInTable(Scope3_SourceData.Scope3_Livestock_Data(), Table_SourceData_Scope3_Animals102[[#Headers],[Category]], 0, 2)</f>
        <v>kg liveweight</v>
      </c>
      <c r="H60" s="30" cm="1">
        <f t="array" ref="H60">Common_InputFunctions.Utility_DisplayArrayInTable(Scope3_SourceData.Scope3_Livestock_Data(), Table_SourceData_Scope3_Animals102[[#Headers],[Category]], 0, 2)</f>
        <v>3.38</v>
      </c>
      <c r="I60" s="30" t="str" cm="1">
        <f t="array" ref="I60">Common_InputFunctions.Utility_DisplayArrayInTable(Scope3_SourceData.Scope3_Livestock_Data(), Table_SourceData_Scope3_Animals102[[#Headers],[Category]], 0, 2)</f>
        <v>at market</v>
      </c>
    </row>
    <row r="61" spans="1:12" ht="20.100000000000001" customHeight="1" x14ac:dyDescent="0.25">
      <c r="A61"/>
      <c r="D61" s="30" t="str" cm="1">
        <f t="array" ref="D61">Common_InputFunctions.Utility_DisplayArrayInTable(Scope3_SourceData.Scope3_Livestock_Data(), Table_SourceData_Scope3_Animals102[[#Headers],[Category]], 0, 2)</f>
        <v>Sheep</v>
      </c>
      <c r="E61" s="30" t="str" cm="1">
        <f t="array" ref="E61">Common_InputFunctions.Utility_DisplayArrayInTable(Scope3_SourceData.Scope3_Livestock_Data(), Table_SourceData_Scope3_Animals102[[#Headers],[Category]], 0, 2)</f>
        <v>Sheep, for mutton</v>
      </c>
      <c r="F61" s="30" t="str" cm="1">
        <f t="array" ref="F61">Common_InputFunctions.Utility_DisplayArrayInTable(Scope3_SourceData.Scope3_Livestock_Data(), Table_SourceData_Scope3_Animals102[[#Headers],[Category]], 0, 2)</f>
        <v>Australia</v>
      </c>
      <c r="G61" s="30" t="str" cm="1">
        <f t="array" ref="G61">Common_InputFunctions.Utility_DisplayArrayInTable(Scope3_SourceData.Scope3_Livestock_Data(), Table_SourceData_Scope3_Animals102[[#Headers],[Category]], 0, 2)</f>
        <v>kg liveweight</v>
      </c>
      <c r="H61" s="30" cm="1">
        <f t="array" ref="H61">Common_InputFunctions.Utility_DisplayArrayInTable(Scope3_SourceData.Scope3_Livestock_Data(), Table_SourceData_Scope3_Animals102[[#Headers],[Category]], 0, 2)</f>
        <v>6.81</v>
      </c>
      <c r="I61" s="30" t="str" cm="1">
        <f t="array" ref="I61">Common_InputFunctions.Utility_DisplayArrayInTable(Scope3_SourceData.Scope3_Livestock_Data(), Table_SourceData_Scope3_Animals102[[#Headers],[Category]], 0, 2)</f>
        <v>at market</v>
      </c>
    </row>
    <row r="62" spans="1:12" ht="20.100000000000001" customHeight="1" x14ac:dyDescent="0.25">
      <c r="A62"/>
      <c r="D62" s="30" t="str" cm="1">
        <f t="array" ref="D62">Common_InputFunctions.Utility_DisplayArrayInTable(Scope3_SourceData.Scope3_Livestock_Data(), Table_SourceData_Scope3_Animals102[[#Headers],[Category]], 0, 2)</f>
        <v>Sheep</v>
      </c>
      <c r="E62" s="30" t="str" cm="1">
        <f t="array" ref="E62">Common_InputFunctions.Utility_DisplayArrayInTable(Scope3_SourceData.Scope3_Livestock_Data(), Table_SourceData_Scope3_Animals102[[#Headers],[Category]], 0, 2)</f>
        <v>Sheep, for mutton</v>
      </c>
      <c r="F62" s="30" t="str" cm="1">
        <f t="array" ref="F62">Common_InputFunctions.Utility_DisplayArrayInTable(Scope3_SourceData.Scope3_Livestock_Data(), Table_SourceData_Scope3_Animals102[[#Headers],[Category]], 0, 2)</f>
        <v>NSW</v>
      </c>
      <c r="G62" s="30" t="str" cm="1">
        <f t="array" ref="G62">Common_InputFunctions.Utility_DisplayArrayInTable(Scope3_SourceData.Scope3_Livestock_Data(), Table_SourceData_Scope3_Animals102[[#Headers],[Category]], 0, 2)</f>
        <v>kg liveweight</v>
      </c>
      <c r="H62" s="30" cm="1">
        <f t="array" ref="H62">Common_InputFunctions.Utility_DisplayArrayInTable(Scope3_SourceData.Scope3_Livestock_Data(), Table_SourceData_Scope3_Animals102[[#Headers],[Category]], 0, 2)</f>
        <v>2.2599999999999998</v>
      </c>
      <c r="I62" s="30" t="str" cm="1">
        <f t="array" ref="I62">Common_InputFunctions.Utility_DisplayArrayInTable(Scope3_SourceData.Scope3_Livestock_Data(), Table_SourceData_Scope3_Animals102[[#Headers],[Category]], 0, 2)</f>
        <v>at market</v>
      </c>
    </row>
    <row r="63" spans="1:12" ht="20.100000000000001" customHeight="1" x14ac:dyDescent="0.25">
      <c r="A63"/>
      <c r="D63" s="30" t="str" cm="1">
        <f t="array" ref="D63">Common_InputFunctions.Utility_DisplayArrayInTable(Scope3_SourceData.Scope3_Livestock_Data(), Table_SourceData_Scope3_Animals102[[#Headers],[Category]], 0, 2)</f>
        <v>Sheep</v>
      </c>
      <c r="E63" s="30" t="str" cm="1">
        <f t="array" ref="E63">Common_InputFunctions.Utility_DisplayArrayInTable(Scope3_SourceData.Scope3_Livestock_Data(), Table_SourceData_Scope3_Animals102[[#Headers],[Category]], 0, 2)</f>
        <v>Sheep, for mutton</v>
      </c>
      <c r="F63" s="30" t="str" cm="1">
        <f t="array" ref="F63">Common_InputFunctions.Utility_DisplayArrayInTable(Scope3_SourceData.Scope3_Livestock_Data(), Table_SourceData_Scope3_Animals102[[#Headers],[Category]], 0, 2)</f>
        <v>QLD</v>
      </c>
      <c r="G63" s="30" t="str" cm="1">
        <f t="array" ref="G63">Common_InputFunctions.Utility_DisplayArrayInTable(Scope3_SourceData.Scope3_Livestock_Data(), Table_SourceData_Scope3_Animals102[[#Headers],[Category]], 0, 2)</f>
        <v>kg liveweight</v>
      </c>
      <c r="H63" s="30" cm="1">
        <f t="array" ref="H63">Common_InputFunctions.Utility_DisplayArrayInTable(Scope3_SourceData.Scope3_Livestock_Data(), Table_SourceData_Scope3_Animals102[[#Headers],[Category]], 0, 2)</f>
        <v>6.33</v>
      </c>
      <c r="I63" s="30" t="str" cm="1">
        <f t="array" ref="I63">Common_InputFunctions.Utility_DisplayArrayInTable(Scope3_SourceData.Scope3_Livestock_Data(), Table_SourceData_Scope3_Animals102[[#Headers],[Category]], 0, 2)</f>
        <v>at market</v>
      </c>
    </row>
    <row r="64" spans="1:12" ht="20.100000000000001" customHeight="1" x14ac:dyDescent="0.25">
      <c r="A64"/>
      <c r="D64" s="30" t="str" cm="1">
        <f t="array" ref="D64">Common_InputFunctions.Utility_DisplayArrayInTable(Scope3_SourceData.Scope3_Livestock_Data(), Table_SourceData_Scope3_Animals102[[#Headers],[Category]], 0, 2)</f>
        <v>Sheep</v>
      </c>
      <c r="E64" s="30" t="str" cm="1">
        <f t="array" ref="E64">Common_InputFunctions.Utility_DisplayArrayInTable(Scope3_SourceData.Scope3_Livestock_Data(), Table_SourceData_Scope3_Animals102[[#Headers],[Category]], 0, 2)</f>
        <v>Sheep, for mutton</v>
      </c>
      <c r="F64" s="30" t="str" cm="1">
        <f t="array" ref="F64">Common_InputFunctions.Utility_DisplayArrayInTable(Scope3_SourceData.Scope3_Livestock_Data(), Table_SourceData_Scope3_Animals102[[#Headers],[Category]], 0, 2)</f>
        <v>SA</v>
      </c>
      <c r="G64" s="30" t="str" cm="1">
        <f t="array" ref="G64">Common_InputFunctions.Utility_DisplayArrayInTable(Scope3_SourceData.Scope3_Livestock_Data(), Table_SourceData_Scope3_Animals102[[#Headers],[Category]], 0, 2)</f>
        <v>kg liveweight</v>
      </c>
      <c r="H64" s="30" cm="1">
        <f t="array" ref="H64">Common_InputFunctions.Utility_DisplayArrayInTable(Scope3_SourceData.Scope3_Livestock_Data(), Table_SourceData_Scope3_Animals102[[#Headers],[Category]], 0, 2)</f>
        <v>6.18</v>
      </c>
      <c r="I64" s="30" t="str" cm="1">
        <f t="array" ref="I64">Common_InputFunctions.Utility_DisplayArrayInTable(Scope3_SourceData.Scope3_Livestock_Data(), Table_SourceData_Scope3_Animals102[[#Headers],[Category]], 0, 2)</f>
        <v>at market</v>
      </c>
    </row>
    <row r="65" spans="1:9" ht="20.100000000000001" customHeight="1" x14ac:dyDescent="0.25">
      <c r="A65"/>
      <c r="D65" s="30" t="str" cm="1">
        <f t="array" ref="D65">Common_InputFunctions.Utility_DisplayArrayInTable(Scope3_SourceData.Scope3_Livestock_Data(), Table_SourceData_Scope3_Animals102[[#Headers],[Category]], 0, 2)</f>
        <v>Sheep</v>
      </c>
      <c r="E65" s="30" t="str" cm="1">
        <f t="array" ref="E65">Common_InputFunctions.Utility_DisplayArrayInTable(Scope3_SourceData.Scope3_Livestock_Data(), Table_SourceData_Scope3_Animals102[[#Headers],[Category]], 0, 2)</f>
        <v>Sheep, for mutton</v>
      </c>
      <c r="F65" s="30" t="str" cm="1">
        <f t="array" ref="F65">Common_InputFunctions.Utility_DisplayArrayInTable(Scope3_SourceData.Scope3_Livestock_Data(), Table_SourceData_Scope3_Animals102[[#Headers],[Category]], 0, 2)</f>
        <v>TAS</v>
      </c>
      <c r="G65" s="30" t="str" cm="1">
        <f t="array" ref="G65">Common_InputFunctions.Utility_DisplayArrayInTable(Scope3_SourceData.Scope3_Livestock_Data(), Table_SourceData_Scope3_Animals102[[#Headers],[Category]], 0, 2)</f>
        <v>kg liveweight</v>
      </c>
      <c r="H65" s="30" cm="1">
        <f t="array" ref="H65">Common_InputFunctions.Utility_DisplayArrayInTable(Scope3_SourceData.Scope3_Livestock_Data(), Table_SourceData_Scope3_Animals102[[#Headers],[Category]], 0, 2)</f>
        <v>7.5</v>
      </c>
      <c r="I65" s="30" t="str" cm="1">
        <f t="array" ref="I65">Common_InputFunctions.Utility_DisplayArrayInTable(Scope3_SourceData.Scope3_Livestock_Data(), Table_SourceData_Scope3_Animals102[[#Headers],[Category]], 0, 2)</f>
        <v>at market</v>
      </c>
    </row>
    <row r="66" spans="1:9" ht="20.100000000000001" customHeight="1" x14ac:dyDescent="0.25">
      <c r="A66"/>
      <c r="D66" s="30" t="str" cm="1">
        <f t="array" ref="D66">Common_InputFunctions.Utility_DisplayArrayInTable(Scope3_SourceData.Scope3_Livestock_Data(), Table_SourceData_Scope3_Animals102[[#Headers],[Category]], 0, 2)</f>
        <v>Sheep</v>
      </c>
      <c r="E66" s="30" t="str" cm="1">
        <f t="array" ref="E66">Common_InputFunctions.Utility_DisplayArrayInTable(Scope3_SourceData.Scope3_Livestock_Data(), Table_SourceData_Scope3_Animals102[[#Headers],[Category]], 0, 2)</f>
        <v>Sheep, for mutton</v>
      </c>
      <c r="F66" s="30" t="str" cm="1">
        <f t="array" ref="F66">Common_InputFunctions.Utility_DisplayArrayInTable(Scope3_SourceData.Scope3_Livestock_Data(), Table_SourceData_Scope3_Animals102[[#Headers],[Category]], 0, 2)</f>
        <v>VIC</v>
      </c>
      <c r="G66" s="30" t="str" cm="1">
        <f t="array" ref="G66">Common_InputFunctions.Utility_DisplayArrayInTable(Scope3_SourceData.Scope3_Livestock_Data(), Table_SourceData_Scope3_Animals102[[#Headers],[Category]], 0, 2)</f>
        <v>kg liveweight</v>
      </c>
      <c r="H66" s="30" cm="1">
        <f t="array" ref="H66">Common_InputFunctions.Utility_DisplayArrayInTable(Scope3_SourceData.Scope3_Livestock_Data(), Table_SourceData_Scope3_Animals102[[#Headers],[Category]], 0, 2)</f>
        <v>8.08</v>
      </c>
      <c r="I66" s="30" t="str" cm="1">
        <f t="array" ref="I66">Common_InputFunctions.Utility_DisplayArrayInTable(Scope3_SourceData.Scope3_Livestock_Data(), Table_SourceData_Scope3_Animals102[[#Headers],[Category]], 0, 2)</f>
        <v>at market</v>
      </c>
    </row>
    <row r="67" spans="1:9" ht="20.100000000000001" customHeight="1" x14ac:dyDescent="0.25">
      <c r="A67"/>
      <c r="D67" s="30" t="str" cm="1">
        <f t="array" ref="D67">Common_InputFunctions.Utility_DisplayArrayInTable(Scope3_SourceData.Scope3_Livestock_Data(), Table_SourceData_Scope3_Animals102[[#Headers],[Category]], 0, 2)</f>
        <v>Sheep</v>
      </c>
      <c r="E67" s="30" t="str" cm="1">
        <f t="array" ref="E67">Common_InputFunctions.Utility_DisplayArrayInTable(Scope3_SourceData.Scope3_Livestock_Data(), Table_SourceData_Scope3_Animals102[[#Headers],[Category]], 0, 2)</f>
        <v>Sheep, for mutton</v>
      </c>
      <c r="F67" s="30" t="str" cm="1">
        <f t="array" ref="F67">Common_InputFunctions.Utility_DisplayArrayInTable(Scope3_SourceData.Scope3_Livestock_Data(), Table_SourceData_Scope3_Animals102[[#Headers],[Category]], 0, 2)</f>
        <v>WA</v>
      </c>
      <c r="G67" s="30" t="str" cm="1">
        <f t="array" ref="G67">Common_InputFunctions.Utility_DisplayArrayInTable(Scope3_SourceData.Scope3_Livestock_Data(), Table_SourceData_Scope3_Animals102[[#Headers],[Category]], 0, 2)</f>
        <v>kg liveweight</v>
      </c>
      <c r="H67" s="30" cm="1">
        <f t="array" ref="H67">Common_InputFunctions.Utility_DisplayArrayInTable(Scope3_SourceData.Scope3_Livestock_Data(), Table_SourceData_Scope3_Animals102[[#Headers],[Category]], 0, 2)</f>
        <v>5.45</v>
      </c>
      <c r="I67" s="30" t="str" cm="1">
        <f t="array" ref="I67">Common_InputFunctions.Utility_DisplayArrayInTable(Scope3_SourceData.Scope3_Livestock_Data(), Table_SourceData_Scope3_Animals102[[#Headers],[Category]], 0, 2)</f>
        <v>at market</v>
      </c>
    </row>
    <row r="68" spans="1:9" ht="20.100000000000001" customHeight="1" x14ac:dyDescent="0.25">
      <c r="A68"/>
      <c r="D68" s="30" t="str" cm="1">
        <f t="array" ref="D68">Common_InputFunctions.Utility_DisplayArrayInTable(Scope3_SourceData.Scope3_Livestock_Data(), Table_SourceData_Scope3_Animals102[[#Headers],[Category]], 0, 2)</f>
        <v>Sheep</v>
      </c>
      <c r="E68" s="30" t="str" cm="1">
        <f t="array" ref="E68">Common_InputFunctions.Utility_DisplayArrayInTable(Scope3_SourceData.Scope3_Livestock_Data(), Table_SourceData_Scope3_Animals102[[#Headers],[Category]], 0, 2)</f>
        <v>Sheep, for prime lamb</v>
      </c>
      <c r="F68" s="30" t="str" cm="1">
        <f t="array" ref="F68">Common_InputFunctions.Utility_DisplayArrayInTable(Scope3_SourceData.Scope3_Livestock_Data(), Table_SourceData_Scope3_Animals102[[#Headers],[Category]], 0, 2)</f>
        <v>Australia</v>
      </c>
      <c r="G68" s="30" t="str" cm="1">
        <f t="array" ref="G68">Common_InputFunctions.Utility_DisplayArrayInTable(Scope3_SourceData.Scope3_Livestock_Data(), Table_SourceData_Scope3_Animals102[[#Headers],[Category]], 0, 2)</f>
        <v>kg liveweight</v>
      </c>
      <c r="H68" s="30" cm="1">
        <f t="array" ref="H68">Common_InputFunctions.Utility_DisplayArrayInTable(Scope3_SourceData.Scope3_Livestock_Data(), Table_SourceData_Scope3_Animals102[[#Headers],[Category]], 0, 2)</f>
        <v>7.15</v>
      </c>
      <c r="I68" s="30" t="str" cm="1">
        <f t="array" ref="I68">Common_InputFunctions.Utility_DisplayArrayInTable(Scope3_SourceData.Scope3_Livestock_Data(), Table_SourceData_Scope3_Animals102[[#Headers],[Category]], 0, 2)</f>
        <v>at market</v>
      </c>
    </row>
    <row r="69" spans="1:9" ht="20.100000000000001" customHeight="1" x14ac:dyDescent="0.25">
      <c r="A69"/>
      <c r="D69" s="30" t="str" cm="1">
        <f t="array" ref="D69">Common_InputFunctions.Utility_DisplayArrayInTable(Scope3_SourceData.Scope3_Livestock_Data(), Table_SourceData_Scope3_Animals102[[#Headers],[Category]], 0, 2)</f>
        <v>Sheep</v>
      </c>
      <c r="E69" s="30" t="str" cm="1">
        <f t="array" ref="E69">Common_InputFunctions.Utility_DisplayArrayInTable(Scope3_SourceData.Scope3_Livestock_Data(), Table_SourceData_Scope3_Animals102[[#Headers],[Category]], 0, 2)</f>
        <v>Sheep, for prime lamb</v>
      </c>
      <c r="F69" s="30" t="str" cm="1">
        <f t="array" ref="F69">Common_InputFunctions.Utility_DisplayArrayInTable(Scope3_SourceData.Scope3_Livestock_Data(), Table_SourceData_Scope3_Animals102[[#Headers],[Category]], 0, 2)</f>
        <v>NSW</v>
      </c>
      <c r="G69" s="30" t="str" cm="1">
        <f t="array" ref="G69">Common_InputFunctions.Utility_DisplayArrayInTable(Scope3_SourceData.Scope3_Livestock_Data(), Table_SourceData_Scope3_Animals102[[#Headers],[Category]], 0, 2)</f>
        <v>kg liveweight</v>
      </c>
      <c r="H69" s="30" cm="1">
        <f t="array" ref="H69">Common_InputFunctions.Utility_DisplayArrayInTable(Scope3_SourceData.Scope3_Livestock_Data(), Table_SourceData_Scope3_Animals102[[#Headers],[Category]], 0, 2)</f>
        <v>8.2899999999999991</v>
      </c>
      <c r="I69" s="30" t="str" cm="1">
        <f t="array" ref="I69">Common_InputFunctions.Utility_DisplayArrayInTable(Scope3_SourceData.Scope3_Livestock_Data(), Table_SourceData_Scope3_Animals102[[#Headers],[Category]], 0, 2)</f>
        <v>at market</v>
      </c>
    </row>
    <row r="70" spans="1:9" ht="20.100000000000001" customHeight="1" x14ac:dyDescent="0.25">
      <c r="A70"/>
      <c r="D70" s="30" t="str" cm="1">
        <f t="array" ref="D70">Common_InputFunctions.Utility_DisplayArrayInTable(Scope3_SourceData.Scope3_Livestock_Data(), Table_SourceData_Scope3_Animals102[[#Headers],[Category]], 0, 2)</f>
        <v>Sheep</v>
      </c>
      <c r="E70" s="30" t="str" cm="1">
        <f t="array" ref="E70">Common_InputFunctions.Utility_DisplayArrayInTable(Scope3_SourceData.Scope3_Livestock_Data(), Table_SourceData_Scope3_Animals102[[#Headers],[Category]], 0, 2)</f>
        <v>Sheep, for prime lamb</v>
      </c>
      <c r="F70" s="30" t="str" cm="1">
        <f t="array" ref="F70">Common_InputFunctions.Utility_DisplayArrayInTable(Scope3_SourceData.Scope3_Livestock_Data(), Table_SourceData_Scope3_Animals102[[#Headers],[Category]], 0, 2)</f>
        <v>QLD</v>
      </c>
      <c r="G70" s="30" t="str" cm="1">
        <f t="array" ref="G70">Common_InputFunctions.Utility_DisplayArrayInTable(Scope3_SourceData.Scope3_Livestock_Data(), Table_SourceData_Scope3_Animals102[[#Headers],[Category]], 0, 2)</f>
        <v>kg liveweight</v>
      </c>
      <c r="H70" s="30" cm="1">
        <f t="array" ref="H70">Common_InputFunctions.Utility_DisplayArrayInTable(Scope3_SourceData.Scope3_Livestock_Data(), Table_SourceData_Scope3_Animals102[[#Headers],[Category]], 0, 2)</f>
        <v>6.39</v>
      </c>
      <c r="I70" s="30" t="str" cm="1">
        <f t="array" ref="I70">Common_InputFunctions.Utility_DisplayArrayInTable(Scope3_SourceData.Scope3_Livestock_Data(), Table_SourceData_Scope3_Animals102[[#Headers],[Category]], 0, 2)</f>
        <v>at market</v>
      </c>
    </row>
    <row r="71" spans="1:9" ht="20.100000000000001" customHeight="1" x14ac:dyDescent="0.25">
      <c r="A71"/>
      <c r="D71" s="30" t="str" cm="1">
        <f t="array" ref="D71">Common_InputFunctions.Utility_DisplayArrayInTable(Scope3_SourceData.Scope3_Livestock_Data(), Table_SourceData_Scope3_Animals102[[#Headers],[Category]], 0, 2)</f>
        <v>Sheep</v>
      </c>
      <c r="E71" s="30" t="str" cm="1">
        <f t="array" ref="E71">Common_InputFunctions.Utility_DisplayArrayInTable(Scope3_SourceData.Scope3_Livestock_Data(), Table_SourceData_Scope3_Animals102[[#Headers],[Category]], 0, 2)</f>
        <v>Sheep, for prime lamb</v>
      </c>
      <c r="F71" s="30" t="str" cm="1">
        <f t="array" ref="F71">Common_InputFunctions.Utility_DisplayArrayInTable(Scope3_SourceData.Scope3_Livestock_Data(), Table_SourceData_Scope3_Animals102[[#Headers],[Category]], 0, 2)</f>
        <v>SA</v>
      </c>
      <c r="G71" s="30" t="str" cm="1">
        <f t="array" ref="G71">Common_InputFunctions.Utility_DisplayArrayInTable(Scope3_SourceData.Scope3_Livestock_Data(), Table_SourceData_Scope3_Animals102[[#Headers],[Category]], 0, 2)</f>
        <v>kg liveweight</v>
      </c>
      <c r="H71" s="30" cm="1">
        <f t="array" ref="H71">Common_InputFunctions.Utility_DisplayArrayInTable(Scope3_SourceData.Scope3_Livestock_Data(), Table_SourceData_Scope3_Animals102[[#Headers],[Category]], 0, 2)</f>
        <v>6.87</v>
      </c>
      <c r="I71" s="30" t="str" cm="1">
        <f t="array" ref="I71">Common_InputFunctions.Utility_DisplayArrayInTable(Scope3_SourceData.Scope3_Livestock_Data(), Table_SourceData_Scope3_Animals102[[#Headers],[Category]], 0, 2)</f>
        <v>at market</v>
      </c>
    </row>
    <row r="72" spans="1:9" ht="20.100000000000001" customHeight="1" x14ac:dyDescent="0.25">
      <c r="A72"/>
      <c r="D72" s="30" t="str" cm="1">
        <f t="array" ref="D72">Common_InputFunctions.Utility_DisplayArrayInTable(Scope3_SourceData.Scope3_Livestock_Data(), Table_SourceData_Scope3_Animals102[[#Headers],[Category]], 0, 2)</f>
        <v>Sheep</v>
      </c>
      <c r="E72" s="30" t="str" cm="1">
        <f t="array" ref="E72">Common_InputFunctions.Utility_DisplayArrayInTable(Scope3_SourceData.Scope3_Livestock_Data(), Table_SourceData_Scope3_Animals102[[#Headers],[Category]], 0, 2)</f>
        <v>Sheep, for prime lamb</v>
      </c>
      <c r="F72" s="30" t="str" cm="1">
        <f t="array" ref="F72">Common_InputFunctions.Utility_DisplayArrayInTable(Scope3_SourceData.Scope3_Livestock_Data(), Table_SourceData_Scope3_Animals102[[#Headers],[Category]], 0, 2)</f>
        <v>TAS</v>
      </c>
      <c r="G72" s="30" t="str" cm="1">
        <f t="array" ref="G72">Common_InputFunctions.Utility_DisplayArrayInTable(Scope3_SourceData.Scope3_Livestock_Data(), Table_SourceData_Scope3_Animals102[[#Headers],[Category]], 0, 2)</f>
        <v>kg liveweight</v>
      </c>
      <c r="H72" s="30" cm="1">
        <f t="array" ref="H72">Common_InputFunctions.Utility_DisplayArrayInTable(Scope3_SourceData.Scope3_Livestock_Data(), Table_SourceData_Scope3_Animals102[[#Headers],[Category]], 0, 2)</f>
        <v>8.66</v>
      </c>
      <c r="I72" s="30" t="str" cm="1">
        <f t="array" ref="I72">Common_InputFunctions.Utility_DisplayArrayInTable(Scope3_SourceData.Scope3_Livestock_Data(), Table_SourceData_Scope3_Animals102[[#Headers],[Category]], 0, 2)</f>
        <v>at market</v>
      </c>
    </row>
    <row r="73" spans="1:9" ht="20.100000000000001" customHeight="1" x14ac:dyDescent="0.25">
      <c r="A73"/>
      <c r="D73" s="30" t="str" cm="1">
        <f t="array" ref="D73">Common_InputFunctions.Utility_DisplayArrayInTable(Scope3_SourceData.Scope3_Livestock_Data(), Table_SourceData_Scope3_Animals102[[#Headers],[Category]], 0, 2)</f>
        <v>Sheep</v>
      </c>
      <c r="E73" s="30" t="str" cm="1">
        <f t="array" ref="E73">Common_InputFunctions.Utility_DisplayArrayInTable(Scope3_SourceData.Scope3_Livestock_Data(), Table_SourceData_Scope3_Animals102[[#Headers],[Category]], 0, 2)</f>
        <v>Sheep, for prime lamb</v>
      </c>
      <c r="F73" s="30" t="str" cm="1">
        <f t="array" ref="F73">Common_InputFunctions.Utility_DisplayArrayInTable(Scope3_SourceData.Scope3_Livestock_Data(), Table_SourceData_Scope3_Animals102[[#Headers],[Category]], 0, 2)</f>
        <v>VIC</v>
      </c>
      <c r="G73" s="30" t="str" cm="1">
        <f t="array" ref="G73">Common_InputFunctions.Utility_DisplayArrayInTable(Scope3_SourceData.Scope3_Livestock_Data(), Table_SourceData_Scope3_Animals102[[#Headers],[Category]], 0, 2)</f>
        <v>kg liveweight</v>
      </c>
      <c r="H73" s="30" cm="1">
        <f t="array" ref="H73">Common_InputFunctions.Utility_DisplayArrayInTable(Scope3_SourceData.Scope3_Livestock_Data(), Table_SourceData_Scope3_Animals102[[#Headers],[Category]], 0, 2)</f>
        <v>10</v>
      </c>
      <c r="I73" s="30" t="str" cm="1">
        <f t="array" ref="I73">Common_InputFunctions.Utility_DisplayArrayInTable(Scope3_SourceData.Scope3_Livestock_Data(), Table_SourceData_Scope3_Animals102[[#Headers],[Category]], 0, 2)</f>
        <v>at market</v>
      </c>
    </row>
    <row r="74" spans="1:9" ht="20.100000000000001" customHeight="1" x14ac:dyDescent="0.25">
      <c r="A74"/>
      <c r="D74" s="30" t="str" cm="1">
        <f t="array" ref="D74">Common_InputFunctions.Utility_DisplayArrayInTable(Scope3_SourceData.Scope3_Livestock_Data(), Table_SourceData_Scope3_Animals102[[#Headers],[Category]], 0, 2)</f>
        <v>Sheep</v>
      </c>
      <c r="E74" s="30" t="str" cm="1">
        <f t="array" ref="E74">Common_InputFunctions.Utility_DisplayArrayInTable(Scope3_SourceData.Scope3_Livestock_Data(), Table_SourceData_Scope3_Animals102[[#Headers],[Category]], 0, 2)</f>
        <v>Sheep, for prime lamb</v>
      </c>
      <c r="F74" s="30" t="str" cm="1">
        <f t="array" ref="F74">Common_InputFunctions.Utility_DisplayArrayInTable(Scope3_SourceData.Scope3_Livestock_Data(), Table_SourceData_Scope3_Animals102[[#Headers],[Category]], 0, 2)</f>
        <v>WA</v>
      </c>
      <c r="G74" s="30" t="str" cm="1">
        <f t="array" ref="G74">Common_InputFunctions.Utility_DisplayArrayInTable(Scope3_SourceData.Scope3_Livestock_Data(), Table_SourceData_Scope3_Animals102[[#Headers],[Category]], 0, 2)</f>
        <v>kg liveweight</v>
      </c>
      <c r="H74" s="30" cm="1">
        <f t="array" ref="H74">Common_InputFunctions.Utility_DisplayArrayInTable(Scope3_SourceData.Scope3_Livestock_Data(), Table_SourceData_Scope3_Animals102[[#Headers],[Category]], 0, 2)</f>
        <v>5.67</v>
      </c>
      <c r="I74" s="30" t="str" cm="1">
        <f t="array" ref="I74">Common_InputFunctions.Utility_DisplayArrayInTable(Scope3_SourceData.Scope3_Livestock_Data(), Table_SourceData_Scope3_Animals102[[#Headers],[Category]], 0, 2)</f>
        <v>at market</v>
      </c>
    </row>
    <row r="75" spans="1:9" ht="20.100000000000001" customHeight="1" x14ac:dyDescent="0.25">
      <c r="A75"/>
    </row>
    <row r="76" spans="1:9" ht="20.100000000000001" customHeight="1" x14ac:dyDescent="0.25">
      <c r="A76"/>
      <c r="D76" s="2" t="s">
        <v>928</v>
      </c>
    </row>
    <row r="77" spans="1:9" ht="20.100000000000001" customHeight="1" x14ac:dyDescent="0.25">
      <c r="A77"/>
      <c r="D77" s="30" t="s">
        <v>384</v>
      </c>
      <c r="E77" s="30" t="s">
        <v>155</v>
      </c>
      <c r="F77" s="30" t="s">
        <v>385</v>
      </c>
      <c r="G77" s="30" t="s">
        <v>386</v>
      </c>
      <c r="H77" s="30" t="s">
        <v>387</v>
      </c>
      <c r="I77" s="30" t="s">
        <v>388</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384</v>
      </c>
      <c r="E82" s="30" t="s">
        <v>155</v>
      </c>
      <c r="F82" s="30" t="s">
        <v>385</v>
      </c>
      <c r="G82" s="30" t="s">
        <v>386</v>
      </c>
      <c r="H82" s="30" t="s">
        <v>387</v>
      </c>
      <c r="I82" s="30" t="s">
        <v>388</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975</v>
      </c>
    </row>
    <row r="89" spans="1:16" ht="20.100000000000001" customHeight="1" x14ac:dyDescent="0.25">
      <c r="A89"/>
      <c r="D89" s="30" t="s">
        <v>384</v>
      </c>
      <c r="E89" s="30" t="s">
        <v>155</v>
      </c>
      <c r="F89" s="30" t="s">
        <v>385</v>
      </c>
      <c r="G89" s="30" t="s">
        <v>386</v>
      </c>
      <c r="H89" s="30" t="s">
        <v>387</v>
      </c>
      <c r="I89" s="30" t="s">
        <v>388</v>
      </c>
      <c r="K89" s="30" t="s">
        <v>155</v>
      </c>
      <c r="L89" s="30" t="s">
        <v>309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155</v>
      </c>
      <c r="O90" s="30" t="s">
        <v>309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155</v>
      </c>
      <c r="L98" s="30" t="s">
        <v>309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155</v>
      </c>
      <c r="O105" s="30" t="s">
        <v>309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155</v>
      </c>
      <c r="L110" s="30" t="s">
        <v>309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155</v>
      </c>
      <c r="O118" s="30" t="s">
        <v>309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155</v>
      </c>
      <c r="L125" s="30" t="s">
        <v>309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155</v>
      </c>
      <c r="O131" s="30" t="s">
        <v>309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155</v>
      </c>
      <c r="L138" s="30" t="s">
        <v>309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155</v>
      </c>
      <c r="O144" s="30" t="s">
        <v>309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155</v>
      </c>
      <c r="L151" s="266" t="s">
        <v>309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155</v>
      </c>
      <c r="O152" s="30" t="s">
        <v>309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155</v>
      </c>
      <c r="L153" s="30" t="s">
        <v>309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155</v>
      </c>
      <c r="O154" s="30" t="s">
        <v>309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155</v>
      </c>
      <c r="L155" s="30" t="s">
        <v>309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155</v>
      </c>
      <c r="O156" s="30" t="s">
        <v>309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155</v>
      </c>
      <c r="L157" s="30" t="s">
        <v>309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155</v>
      </c>
      <c r="O158" s="30" t="s">
        <v>309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384</v>
      </c>
      <c r="E161" s="30" t="s">
        <v>155</v>
      </c>
      <c r="F161" s="30" t="s">
        <v>385</v>
      </c>
      <c r="G161" s="30" t="s">
        <v>386</v>
      </c>
      <c r="H161" s="30" t="s">
        <v>387</v>
      </c>
      <c r="I161" s="30" t="s">
        <v>388</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384</v>
      </c>
      <c r="E167" s="30" t="s">
        <v>155</v>
      </c>
      <c r="F167" s="30" t="s">
        <v>385</v>
      </c>
      <c r="G167" s="30" t="s">
        <v>386</v>
      </c>
      <c r="H167" s="30" t="s">
        <v>387</v>
      </c>
      <c r="I167" s="30" t="s">
        <v>388</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1176</v>
      </c>
    </row>
    <row r="173" spans="4:13" ht="20.100000000000001" customHeight="1" x14ac:dyDescent="0.25">
      <c r="D173" s="30" t="s">
        <v>384</v>
      </c>
      <c r="E173" s="30" t="s">
        <v>155</v>
      </c>
      <c r="F173" s="30" t="s">
        <v>385</v>
      </c>
      <c r="G173" s="30" t="s">
        <v>595</v>
      </c>
      <c r="H173" s="30" t="s">
        <v>494</v>
      </c>
      <c r="I173" s="30" t="s">
        <v>495</v>
      </c>
      <c r="J173" s="30" t="s">
        <v>1177</v>
      </c>
      <c r="K173" s="30" t="s">
        <v>386</v>
      </c>
      <c r="L173" s="30" t="s">
        <v>387</v>
      </c>
      <c r="M173" s="30" t="s">
        <v>388</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1178</v>
      </c>
      <c r="N200" s="30"/>
      <c r="O200" s="30"/>
      <c r="P200" s="30"/>
    </row>
    <row r="201" spans="4:16" ht="20.100000000000001" customHeight="1" x14ac:dyDescent="0.25">
      <c r="D201" s="30" t="s">
        <v>384</v>
      </c>
      <c r="E201" s="30" t="s">
        <v>155</v>
      </c>
      <c r="F201" s="30" t="s">
        <v>385</v>
      </c>
      <c r="G201" s="30" t="s">
        <v>386</v>
      </c>
      <c r="H201" s="30" t="s">
        <v>387</v>
      </c>
      <c r="I201" s="30" t="s">
        <v>388</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1008</v>
      </c>
    </row>
    <row r="212" spans="4:16" ht="20.100000000000001" customHeight="1" x14ac:dyDescent="0.25">
      <c r="D212" s="30" t="s">
        <v>384</v>
      </c>
      <c r="E212" s="30" t="s">
        <v>155</v>
      </c>
      <c r="F212" s="30" t="s">
        <v>385</v>
      </c>
      <c r="G212" s="30" t="s">
        <v>386</v>
      </c>
      <c r="H212" s="30" t="s">
        <v>387</v>
      </c>
      <c r="I212" s="30" t="s">
        <v>388</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929</v>
      </c>
    </row>
    <row r="219" spans="4:16" ht="20.100000000000001" customHeight="1" x14ac:dyDescent="0.25">
      <c r="D219" s="30" t="s">
        <v>384</v>
      </c>
      <c r="E219" s="30" t="s">
        <v>155</v>
      </c>
      <c r="F219" s="30" t="s">
        <v>385</v>
      </c>
      <c r="G219" s="30" t="s">
        <v>386</v>
      </c>
      <c r="H219" s="30" t="s">
        <v>387</v>
      </c>
      <c r="I219" s="30" t="s">
        <v>388</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1179</v>
      </c>
    </row>
    <row r="234" spans="4:9" ht="20.100000000000001" customHeight="1" x14ac:dyDescent="0.25">
      <c r="D234" s="30" t="s">
        <v>384</v>
      </c>
      <c r="E234" s="30" t="s">
        <v>155</v>
      </c>
      <c r="F234" s="30" t="s">
        <v>385</v>
      </c>
      <c r="G234" s="30" t="s">
        <v>386</v>
      </c>
      <c r="H234" s="30" t="s">
        <v>387</v>
      </c>
      <c r="I234" s="30" t="s">
        <v>388</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55" sqref="A55"/>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Pasture'!A1", "Pasture")</f>
        <v>Pasture</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Fertiliser'!A1", "Fertiliser")</f>
        <v>Fertiliser</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Fuel'!A1", "Fuel")</f>
        <v>Fuel</v>
      </c>
    </row>
    <row r="16" spans="1:65" ht="20.100000000000001" customHeight="1" x14ac:dyDescent="0.25">
      <c r="A16" s="5" t="str">
        <f>HYPERLINK("#'Input - Electricity'!A1", "Electricity")</f>
        <v>Electricity</v>
      </c>
    </row>
    <row r="17" spans="1:4" ht="20.100000000000001" customHeight="1" x14ac:dyDescent="0.25">
      <c r="A17" s="5" t="str">
        <f>HYPERLINK("#'Input - Farm Inputs'!A1", "Farm Inputs")</f>
        <v>Farm Inputs</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Manure sent off-site'!A1", "Manure sent off-site")</f>
        <v>Manure sent off-site</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Solid waste'!A1", "Solid waste")</f>
        <v>Solid waste</v>
      </c>
      <c r="D20" s="30" t="s">
        <v>35</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s="6" t="s">
        <v>2</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HYPERLINK("#'3.2.1.1-2 Enteric Methane'!A1", "3.2.1.1-2 Enteric methane")</f>
        <v>3.2.1.1-2 Enteric methane</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HYPERLINK("#'4.2.1.1-2 Methane'!A1", "4.2.1.1-2 Manure methane")</f>
        <v>4.2.1.1-2 Manure methane</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HYPERLINK("#'4.2.1.3-4 Soil direct N20'!A1", "4.2.1.3-4 Soil direct N2O")</f>
        <v>4.2.1.3-4 Soil direct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HYPERLINK("#'4.2.1.5-6 Soil Atmos Dep'!A1", "4.2.1.5-6 Soil atm. deposition")</f>
        <v>4.2.1.5-6 Soil atm. deposition</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HYPERLINK("#'4.2.1.7-8 Soil leach runoff'!A1", "4.2.1.7-8 Soil leach &amp; runoff")</f>
        <v>4.2.1.7-8 Soil leach &amp; runoff</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HYPERLINK("#'5.1.1.1-2 Inorganic fert N2O'!A1", "5.1.1.1-2 Inorganic fert N2O")</f>
        <v>5.1.1.1-2 Inorganic fert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HYPERLINK("#'5.1.1.3-4 Inorganic fert CO2'!A1", "5.1.1.3-4 Inorganic fert CO2")</f>
        <v>5.1.1.3-4 Inorganic fert CO2</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HYPERLINK("#'5.2.1.1-2 Organic Fert N2O'!A1", "5.2.1.1-2 Organic fert N2O")</f>
        <v>5.2.1.1-2 Organic fert N2O</v>
      </c>
    </row>
    <row r="32" spans="1:4" ht="20.100000000000001" customHeight="1" x14ac:dyDescent="0.25">
      <c r="A32" s="5" t="str">
        <f>HYPERLINK("#'5.3.1.1-2 Lime CO2'!A1", "5.3.1.1-2 Lime CO2")</f>
        <v>5.3.1.1-2 Lime CO2</v>
      </c>
    </row>
    <row r="33" spans="1:8" ht="20.100000000000001" customHeight="1" x14ac:dyDescent="0.25">
      <c r="A33" s="5" t="str">
        <f>HYPERLINK("#'5.4.1.1-4 Atmos deposition'!A1", "5.4.1.1-4 Atmos. deposition")</f>
        <v>5.4.1.1-4 Atmos. deposition</v>
      </c>
    </row>
    <row r="34" spans="1:8" ht="20.100000000000001" customHeight="1" x14ac:dyDescent="0.25">
      <c r="A34" s="5" t="str">
        <f>HYPERLINK("#'5.5.1.1-2 Leaching and runoff'!A1", "5.5.1.1-2 Leaching &amp; runoff")</f>
        <v>5.5.1.1-2 Leaching &amp; runoff</v>
      </c>
      <c r="D34" s="2" t="str" cm="1">
        <f t="array" ref="D34">Common_SourceData.Common_SourceData_GWP_Title()</f>
        <v>Global warming potential for greenhouse gases</v>
      </c>
    </row>
    <row r="35" spans="1:8" ht="20.100000000000001" customHeight="1" x14ac:dyDescent="0.25">
      <c r="A35" s="5" t="str">
        <f>HYPERLINK("#'6.2.1.1-2 Pasture residue N2O'!A1", "6.2.1.1-2 Pasture residue N2O")</f>
        <v>6.2.1.1-2 Pasture residue N2O</v>
      </c>
      <c r="D35" s="27" t="str" cm="1">
        <f t="array" ref="D35">Common_SourceData.Common_SourceData_GWP_Source()</f>
        <v>XXXXXXX</v>
      </c>
    </row>
    <row r="36" spans="1:8" ht="20.100000000000001" customHeight="1" x14ac:dyDescent="0.25">
      <c r="A36" s="5" t="str">
        <f>HYPERLINK("#'6.3.1.1-2 Leach runoff pasture'!A1", "6.3.1.1-2 Leach &amp; runoff (pasture)")</f>
        <v>6.3.1.1-2 Leach &amp; runoff (pasture)</v>
      </c>
      <c r="D36" s="30" t="s">
        <v>36</v>
      </c>
      <c r="E36" s="30" t="s">
        <v>37</v>
      </c>
    </row>
    <row r="37" spans="1:8" ht="20.100000000000001" customHeight="1" x14ac:dyDescent="0.25">
      <c r="A37" s="5" t="str">
        <f>HYPERLINK("#'8.1.1.1-2 Transport fuel'!A1", "8.1.1.1-2 Transport fuel")</f>
        <v>8.1.1.1-2 Transport fuel</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HYPERLINK("#'8.2.1.1-2 Stationary fuel'!A1", "8.2.1.1-2 Stationary fuel")</f>
        <v>8.2.1.1-2 Stationary fuel</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HYPERLINK("#'14.1.1-2 Purchased electricity'!A1", "14.1.1-2 Purchased electricity")</f>
        <v>14.1.1-2 Purchased electricity</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HYPERLINK("#'15 Scope 3'!A1", "15 Scope 3")</f>
        <v>15 Scope 3</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HYPERLINK("#'Calcs - Manure sent off-site'!A1", "Calcs - Manure sent off-site")</f>
        <v>Calcs - Manure sent off-site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HYPERLINK("#'10.1.1-2 Solid waste treatment'!A1", "10.1.1-2 Solid waste treatment")</f>
        <v>10.1.1-2 Solid waste treatment</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s="94" t="s">
        <v>1</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Pasture Beef'!A1", "Constants - Pasture Beef")</f>
        <v>Constants - Pasture Beef</v>
      </c>
      <c r="D46" s="27" t="str" cm="1">
        <f t="array" ref="D46">Common_SourceData.Common_SourceData_ConvertGasElementalToMolecular_Source()</f>
        <v>XXXXXXX</v>
      </c>
    </row>
    <row r="47" spans="1:8" ht="20.100000000000001" customHeight="1" x14ac:dyDescent="0.25">
      <c r="A47" s="5" t="str">
        <f>HYPERLINK("#'Constants - Ag Residue'!A1", "Constants - Ag residue")</f>
        <v>Constants - Ag residue</v>
      </c>
      <c r="D47" s="30" t="s">
        <v>36</v>
      </c>
      <c r="E47" s="30" t="s">
        <v>38</v>
      </c>
      <c r="F47" s="30" t="s">
        <v>39</v>
      </c>
      <c r="G47" s="30" t="s">
        <v>40</v>
      </c>
      <c r="H47" s="30" t="s">
        <v>41</v>
      </c>
    </row>
    <row r="48" spans="1:8" ht="20.100000000000001" customHeight="1" x14ac:dyDescent="0.25">
      <c r="A48" s="5" t="str">
        <f>HYPERLINK("#'Constants - Common Livestock'!A1", "Constants - Common Livestock")</f>
        <v>Constants - Common Livestock</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Electricity'!A1", "Constants - Electricity")</f>
        <v>Constants - Electricity</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Fertiliser'!A1", "Constants - Fertiliser")</f>
        <v>Constants - Fertiliser</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Fuel'!A1", "Constants - Fuel")</f>
        <v>Constants - Fuel</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Scope 3'!A1", "Constants - Scope 3")</f>
        <v>Constants - Scope 3</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128" t="str">
        <f>HYPERLINK("#'Constants - Common'!A1", "Constants - Common")</f>
        <v>Constants - Common</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HYPERLINK("#'Acknowledgements'!A1", "Acknowledgements")</f>
        <v>Acknowledgements</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Solid Waste'!A1", "Constants - Solid Waste")</f>
        <v>Constants - Solid Waste</v>
      </c>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D79B8-E576-4B50-9161-2A484EC91C1F}">
  <dimension ref="A1:A55"/>
  <sheetViews>
    <sheetView workbookViewId="0" zoomScale="100" zoomScaleNormal="100">
      <selection activeCell="A55" sqref="A55"/>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Pasture'!A1", "Pasture")</f>
        <v>Pasture</v>
      </c>
    </row>
    <row r="14" spans="1:1" ht="15.75" x14ac:dyDescent="0.25">
      <c r="A14" s="5" t="str">
        <f>HYPERLINK("#'Input - Fertiliser'!A1", "Fertiliser")</f>
        <v>Fertiliser</v>
      </c>
    </row>
    <row r="15" spans="1:1" ht="15.75" x14ac:dyDescent="0.25">
      <c r="A15" s="5" t="str">
        <f>HYPERLINK("#'Input - Fuel'!A1", "Fuel")</f>
        <v>Fuel</v>
      </c>
    </row>
    <row r="16" spans="1:1" ht="15.75" x14ac:dyDescent="0.25">
      <c r="A16" s="5" t="str">
        <f>HYPERLINK("#'Input - Electricity'!A1", "Electricity")</f>
        <v>Electricity</v>
      </c>
    </row>
    <row r="17" spans="1:1" ht="15.75" x14ac:dyDescent="0.25">
      <c r="A17" s="5" t="str">
        <f>HYPERLINK("#'Input - Farm Inputs'!A1", "Farm Inputs")</f>
        <v>Farm Inputs</v>
      </c>
    </row>
    <row r="18" spans="1:1" ht="15.75" x14ac:dyDescent="0.25">
      <c r="A18" s="5" t="str">
        <f>HYPERLINK("#'Input - Freight'!A1", "Freight")</f>
        <v>Freight</v>
      </c>
    </row>
    <row r="19" spans="1:1" ht="15.75" x14ac:dyDescent="0.25">
      <c r="A19" s="5" t="str">
        <f>HYPERLINK("#'Input - Manure sent off-site'!A1", "Manure sent off-site")</f>
        <v>Manure sent off-site</v>
      </c>
    </row>
    <row r="20" spans="1:1" ht="15.75" x14ac:dyDescent="0.25">
      <c r="A20" s="5" t="str">
        <f>HYPERLINK("#'Input - Solid waste'!A1", "Solid waste")</f>
        <v>Solid waste</v>
      </c>
    </row>
    <row r="23" spans="1:1" x14ac:dyDescent="0.25">
      <c r="A23" s="6" t="s">
        <v>2</v>
      </c>
    </row>
    <row r="24" spans="1:1" ht="15.75" x14ac:dyDescent="0.25">
      <c r="A24" s="5" t="str">
        <f>HYPERLINK("#'3.2.1.1-2 Enteric Methane'!A1", "3.2.1.1-2 Enteric methane")</f>
        <v>3.2.1.1-2 Enteric methane</v>
      </c>
    </row>
    <row r="25" spans="1:1" ht="15.75" x14ac:dyDescent="0.25">
      <c r="A25" s="5" t="str">
        <f>HYPERLINK("#'4.2.1.1-2 Methane'!A1", "4.2.1.1-2 Manure methane")</f>
        <v>4.2.1.1-2 Manure methane</v>
      </c>
    </row>
    <row r="26" spans="1:1" ht="15.75" x14ac:dyDescent="0.25">
      <c r="A26" s="5" t="str">
        <f>HYPERLINK("#'4.2.1.3-4 Soil direct N20'!A1", "4.2.1.3-4 Soil direct N2O")</f>
        <v>4.2.1.3-4 Soil direct N2O</v>
      </c>
    </row>
    <row r="27" spans="1:1" ht="15.75" x14ac:dyDescent="0.25">
      <c r="A27" s="5" t="str">
        <f>HYPERLINK("#'4.2.1.5-6 Soil Atmos Dep'!A1", "4.2.1.5-6 Soil atm. deposition")</f>
        <v>4.2.1.5-6 Soil atm. deposition</v>
      </c>
    </row>
    <row r="28" spans="1:1" ht="15.75" x14ac:dyDescent="0.25">
      <c r="A28" s="5" t="str">
        <f>HYPERLINK("#'4.2.1.7-8 Soil leach runoff'!A1", "4.2.1.7-8 Soil leach &amp; runoff")</f>
        <v>4.2.1.7-8 Soil leach &amp; runoff</v>
      </c>
    </row>
    <row r="29" spans="1:1" ht="15.75" x14ac:dyDescent="0.25">
      <c r="A29" s="5" t="str">
        <f>HYPERLINK("#'5.1.1.1-2 Inorganic fert N2O'!A1", "5.1.1.1-2 Inorganic fert N2O")</f>
        <v>5.1.1.1-2 Inorganic fert N2O</v>
      </c>
    </row>
    <row r="30" spans="1:1" ht="15.75" x14ac:dyDescent="0.25">
      <c r="A30" s="5" t="str">
        <f>HYPERLINK("#'5.1.1.3-4 Inorganic fert CO2'!A1", "5.1.1.3-4 Inorganic fert CO2")</f>
        <v>5.1.1.3-4 Inorganic fert CO2</v>
      </c>
    </row>
    <row r="31" spans="1:1" ht="15.75" x14ac:dyDescent="0.25">
      <c r="A31" s="5" t="str">
        <f>HYPERLINK("#'5.2.1.1-2 Organic Fert N2O'!A1", "5.2.1.1-2 Organic fert N2O")</f>
        <v>5.2.1.1-2 Organic fert N2O</v>
      </c>
    </row>
    <row r="32" spans="1:1" ht="15.75" x14ac:dyDescent="0.25">
      <c r="A32" s="5" t="str">
        <f>HYPERLINK("#'5.3.1.1-2 Lime CO2'!A1", "5.3.1.1-2 Lime CO2")</f>
        <v>5.3.1.1-2 Lime CO2</v>
      </c>
    </row>
    <row r="33" spans="1:1" ht="15.75" x14ac:dyDescent="0.25">
      <c r="A33" s="5" t="str">
        <f>HYPERLINK("#'5.4.1.1-4 Atmos deposition'!A1", "5.4.1.1-4 Atmos. deposition")</f>
        <v>5.4.1.1-4 Atmos. deposition</v>
      </c>
    </row>
    <row r="34" spans="1:1" ht="15.75" x14ac:dyDescent="0.25">
      <c r="A34" s="5" t="str">
        <f>HYPERLINK("#'5.5.1.1-2 Leaching and runoff'!A1", "5.5.1.1-2 Leaching &amp; runoff")</f>
        <v>5.5.1.1-2 Leaching &amp; runoff</v>
      </c>
    </row>
    <row r="35" spans="1:1" ht="15.75" x14ac:dyDescent="0.25">
      <c r="A35" s="5" t="str">
        <f>HYPERLINK("#'6.2.1.1-2 Pasture residue N2O'!A1", "6.2.1.1-2 Pasture residue N2O")</f>
        <v>6.2.1.1-2 Pasture residue N2O</v>
      </c>
    </row>
    <row r="36" spans="1:1" ht="15.75" x14ac:dyDescent="0.25">
      <c r="A36" s="5" t="str">
        <f>HYPERLINK("#'6.3.1.1-2 Leach runoff pasture'!A1", "6.3.1.1-2 Leach &amp; runoff (pasture)")</f>
        <v>6.3.1.1-2 Leach &amp; runoff (pasture)</v>
      </c>
    </row>
    <row r="37" spans="1:1" ht="15.75" x14ac:dyDescent="0.25">
      <c r="A37" s="5" t="str">
        <f>HYPERLINK("#'8.1.1.1-2 Transport fuel'!A1", "8.1.1.1-2 Transport fuel")</f>
        <v>8.1.1.1-2 Transport fuel</v>
      </c>
    </row>
    <row r="38" spans="1:1" ht="15.75" x14ac:dyDescent="0.25">
      <c r="A38" s="5" t="str">
        <f>HYPERLINK("#'8.2.1.1-2 Stationary fuel'!A1", "8.2.1.1-2 Stationary fuel")</f>
        <v>8.2.1.1-2 Stationary fuel</v>
      </c>
    </row>
    <row r="39" spans="1:1" ht="15.75" x14ac:dyDescent="0.25">
      <c r="A39" s="5" t="str">
        <f>HYPERLINK("#'14.1.1-2 Purchased electricity'!A1", "14.1.1-2 Purchased electricity")</f>
        <v>14.1.1-2 Purchased electricity</v>
      </c>
    </row>
    <row r="40" spans="1:1" ht="15.75" x14ac:dyDescent="0.25">
      <c r="A40" s="5" t="str">
        <f>HYPERLINK("#'15 Scope 3'!A1", "15 Scope 3")</f>
        <v>15 Scope 3</v>
      </c>
    </row>
    <row r="41" spans="1:1" ht="15.75" x14ac:dyDescent="0.25">
      <c r="A41" s="5" t="str">
        <f>HYPERLINK("#'Calcs - Manure sent off-site'!A1", "Calcs - Manure sent off-site")</f>
        <v>Calcs - Manure sent off-site</v>
      </c>
    </row>
    <row r="42" spans="1:1" ht="15.75" x14ac:dyDescent="0.25">
      <c r="A42" s="5" t="str">
        <f>HYPERLINK("#'10.1.1-2 Solid waste treatment'!A1", "10.1.1-2 Solid waste treatment")</f>
        <v>10.1.1-2 Solid waste treatment</v>
      </c>
    </row>
    <row r="45" spans="1:1" x14ac:dyDescent="0.25">
      <c r="A45" s="94" t="s">
        <v>1</v>
      </c>
    </row>
    <row r="46" spans="1:1" ht="15.75" x14ac:dyDescent="0.25">
      <c r="A46" s="5" t="str">
        <f>HYPERLINK("#'Constants - Pasture Beef'!A1", "Constants - Pasture Beef")</f>
        <v>Constants - Pasture Beef</v>
      </c>
    </row>
    <row r="47" spans="1:1" ht="15.75" x14ac:dyDescent="0.25">
      <c r="A47" s="5" t="str">
        <f>HYPERLINK("#'Constants - Ag Residue'!A1", "Constants - Ag residue")</f>
        <v>Constants - Ag residue</v>
      </c>
    </row>
    <row r="48" spans="1:1" ht="15.75" x14ac:dyDescent="0.25">
      <c r="A48" s="5" t="str">
        <f>HYPERLINK("#'Constants - Common Livestock'!A1", "Constants - Common Livestock")</f>
        <v>Constants - Common Livestock</v>
      </c>
    </row>
    <row r="49" spans="1:1" ht="15.75" x14ac:dyDescent="0.25">
      <c r="A49" s="5" t="str">
        <f>HYPERLINK("#'Constants - Electricity'!A1", "Constants - Electricity")</f>
        <v>Constants - Electricity</v>
      </c>
    </row>
    <row r="50" spans="1:1" ht="15.75" x14ac:dyDescent="0.25">
      <c r="A50" s="5" t="str">
        <f>HYPERLINK("#'Constants - Fertiliser'!A1", "Constants - Fertiliser")</f>
        <v>Constants - Fertiliser</v>
      </c>
    </row>
    <row r="51" spans="1:1" ht="15.75" x14ac:dyDescent="0.25">
      <c r="A51" s="5" t="str">
        <f>HYPERLINK("#'Constants - Fuel'!A1", "Constants - Fuel")</f>
        <v>Constants - Fuel</v>
      </c>
    </row>
    <row r="52" spans="1:1" ht="15.75" x14ac:dyDescent="0.25">
      <c r="A52" s="5" t="str">
        <f>HYPERLINK("#'Constants - Scope 3'!A1", "Constants - Scope 3")</f>
        <v>Constants - Scope 3</v>
      </c>
    </row>
    <row r="53" spans="1:1" ht="15.75" x14ac:dyDescent="0.25">
      <c r="A53" s="5" t="str">
        <f>HYPERLINK("#'Constants - Common'!A1", "Constants - Common")</f>
        <v>Constants - Common</v>
      </c>
    </row>
    <row r="54" spans="1:1" ht="15.75" x14ac:dyDescent="0.25">
      <c r="A54" s="128" t="str">
        <f>HYPERLINK("#'Acknowledgements'!A1", "Acknowledgements")</f>
        <v>Acknowledgements</v>
      </c>
    </row>
    <row r="55" spans="1:1" ht="15.75" x14ac:dyDescent="0.25">
      <c r="A55" s="5" t="str">
        <f>HYPERLINK("#'Constants - Solid Waste'!A1", "Constants - Solid Waste")</f>
        <v>Constants - Solid Waste</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379AA-F40C-4538-BDDE-DEEED19AA3BF}">
  <sheetPr>
    <tabColor theme="5" tint="-0.249977111117893"/>
  </sheetPr>
  <dimension ref="A1:L385"/>
  <sheetViews>
    <sheetView showGridLines="0"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797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798</v>
      </c>
    </row>
    <row r="6" spans="1:10" ht="20.100000000000001" customHeight="1" x14ac:dyDescent="0.25"/>
    <row r="7" spans="1:10" ht="20.100000000000001" customHeight="1" x14ac:dyDescent="0.25">
      <c r="D7" s="46" t="s">
        <v>671</v>
      </c>
      <c r="E7" s="49"/>
    </row>
    <row r="8" spans="1:10" ht="20.100000000000001" customHeight="1" x14ac:dyDescent="0.25">
      <c r="A8" s="7" t="s">
        <v>0</v>
      </c>
    </row>
    <row r="9" spans="1:10" ht="20.100000000000001" customHeight="1" x14ac:dyDescent="0.25">
      <c r="A9" s="5" t="str">
        <f>HYPERLINK("#'Input - Enterprise'!A1", "Enterprise")</f>
        <v>Enterprise</v>
      </c>
      <c r="D9" s="119" t="s">
        <v>672</v>
      </c>
      <c r="E9" s="119" t="s">
        <v>799</v>
      </c>
      <c r="F9" s="119" t="s">
        <v>800</v>
      </c>
      <c r="G9" s="119" t="s">
        <v>801</v>
      </c>
      <c r="H9" s="119" t="s">
        <v>802</v>
      </c>
      <c r="I9" s="119" t="s">
        <v>803</v>
      </c>
    </row>
    <row r="10" spans="1:10" ht="20.100000000000001" customHeight="1" x14ac:dyDescent="0.25">
      <c r="A10" s="5" t="str">
        <f>HYPERLINK("#'Input - Site'!A1", "Site")</f>
        <v>Site</v>
      </c>
      <c r="D10" s="30" t="s">
        <v>804</v>
      </c>
      <c r="E10" s="23" t="s">
        <v>805</v>
      </c>
      <c r="F10" s="23" t="s">
        <v>806</v>
      </c>
      <c r="G10" s="23" t="s">
        <v>807</v>
      </c>
      <c r="H10" s="86">
        <v>50</v>
      </c>
      <c r="I10" s="23" t="s">
        <v>30</v>
      </c>
    </row>
    <row r="11" spans="1:10" ht="20.100000000000001" customHeight="1" x14ac:dyDescent="0.25">
      <c r="A11" s="5" t="str">
        <f>HYPERLINK("#'Input - Pasture Beef'!A1", "Pasture Beef")</f>
        <v>Pasture Beef</v>
      </c>
      <c r="D11" s="30" t="s">
        <v>808</v>
      </c>
      <c r="E11" s="23" t="s">
        <v>805</v>
      </c>
      <c r="F11" s="23" t="s">
        <v>806</v>
      </c>
      <c r="G11" s="23" t="s">
        <v>809</v>
      </c>
      <c r="H11" s="86">
        <v>50</v>
      </c>
      <c r="I11" s="23" t="s">
        <v>810</v>
      </c>
    </row>
    <row r="12" spans="1:10" ht="20.100000000000001" customHeight="1" x14ac:dyDescent="0.25">
      <c r="A12" s="5" t="str">
        <f>HYPERLINK("#'Input - Pasture Beef (Enteric)'!A1", "Pasture Beef (Enteric)")</f>
        <v>Pasture Beef (Enteric)</v>
      </c>
      <c r="D12" s="30" t="s">
        <v>811</v>
      </c>
      <c r="E12" s="23" t="s">
        <v>805</v>
      </c>
      <c r="F12" s="23" t="s">
        <v>812</v>
      </c>
      <c r="G12" s="23" t="s">
        <v>807</v>
      </c>
      <c r="H12" s="86">
        <v>50</v>
      </c>
      <c r="I12" s="23" t="s">
        <v>30</v>
      </c>
    </row>
    <row r="13" spans="1:10" ht="20.100000000000001" customHeight="1" x14ac:dyDescent="0.25">
      <c r="A13" s="5" t="str">
        <f>HYPERLINK("#'Input - Pasture'!A1", "Pasture")</f>
        <v>Pasture</v>
      </c>
      <c r="D13" s="30" t="s">
        <v>813</v>
      </c>
      <c r="E13" s="23" t="s">
        <v>805</v>
      </c>
      <c r="F13" s="23" t="s">
        <v>812</v>
      </c>
      <c r="G13" s="23" t="s">
        <v>809</v>
      </c>
      <c r="H13" s="86">
        <v>50</v>
      </c>
      <c r="I13" s="23" t="s">
        <v>810</v>
      </c>
    </row>
    <row r="14" spans="1:10" ht="20.100000000000001" customHeight="1" x14ac:dyDescent="0.25">
      <c r="A14" s="5" t="str">
        <f>HYPERLINK("#'Input - Fertiliser'!A1", "Fertiliser")</f>
        <v>Fertiliser</v>
      </c>
      <c r="D14" s="30" t="s">
        <v>814</v>
      </c>
      <c r="E14" s="23" t="s">
        <v>815</v>
      </c>
      <c r="F14" s="23" t="s">
        <v>812</v>
      </c>
      <c r="G14" s="23" t="s">
        <v>807</v>
      </c>
      <c r="H14" s="86">
        <v>50</v>
      </c>
      <c r="I14" s="23" t="s">
        <v>30</v>
      </c>
    </row>
    <row r="15" spans="1:10" ht="20.100000000000001" customHeight="1" x14ac:dyDescent="0.25">
      <c r="A15" s="5" t="str">
        <f>HYPERLINK("#'Input - Fuel'!A1", "Fuel")</f>
        <v>Fuel</v>
      </c>
      <c r="D15" s="30" t="s">
        <v>816</v>
      </c>
      <c r="E15" s="23" t="s">
        <v>815</v>
      </c>
      <c r="F15" s="23" t="s">
        <v>812</v>
      </c>
      <c r="G15" s="23" t="s">
        <v>807</v>
      </c>
      <c r="H15" s="86">
        <v>50</v>
      </c>
      <c r="I15" s="23" t="s">
        <v>810</v>
      </c>
    </row>
    <row r="16" spans="1:10" ht="20.100000000000001" customHeight="1" x14ac:dyDescent="0.25">
      <c r="A16" s="5" t="str">
        <f>HYPERLINK("#'Input - Electricity'!A1", "Electricity")</f>
        <v>Electricity</v>
      </c>
      <c r="D16" s="30" t="s">
        <v>817</v>
      </c>
      <c r="E16" s="23" t="s">
        <v>815</v>
      </c>
      <c r="F16" s="23" t="s">
        <v>812</v>
      </c>
      <c r="G16" s="23" t="s">
        <v>809</v>
      </c>
      <c r="H16" s="86">
        <v>50</v>
      </c>
      <c r="I16" s="23" t="s">
        <v>30</v>
      </c>
    </row>
    <row r="17" spans="1:11" ht="20.100000000000001" customHeight="1" x14ac:dyDescent="0.25">
      <c r="A17" s="5" t="str">
        <f>HYPERLINK("#'Input - Farm Inputs'!A1", "Farm Inputs")</f>
        <v>Farm Inputs</v>
      </c>
      <c r="D17" s="30" t="s">
        <v>818</v>
      </c>
      <c r="E17" s="23" t="s">
        <v>815</v>
      </c>
      <c r="F17" s="23" t="s">
        <v>812</v>
      </c>
      <c r="G17" s="23" t="s">
        <v>809</v>
      </c>
      <c r="H17" s="86">
        <v>50</v>
      </c>
      <c r="I17" s="23" t="s">
        <v>810</v>
      </c>
    </row>
    <row r="18" spans="1:11" ht="20.100000000000001" customHeight="1" x14ac:dyDescent="0.25">
      <c r="A18" s="5" t="str">
        <f>HYPERLINK("#'Input - Freight'!A1", "Freight")</f>
        <v>Freight</v>
      </c>
      <c r="D18" s="30" t="s">
        <v>819</v>
      </c>
      <c r="E18" s="23" t="s">
        <v>815</v>
      </c>
      <c r="F18" s="23" t="s">
        <v>806</v>
      </c>
      <c r="G18" s="23" t="s">
        <v>807</v>
      </c>
      <c r="H18" s="86">
        <v>50</v>
      </c>
      <c r="I18" s="23" t="s">
        <v>30</v>
      </c>
    </row>
    <row r="19" spans="1:11" ht="20.100000000000001" customHeight="1" x14ac:dyDescent="0.25">
      <c r="A19" s="5" t="str">
        <f>HYPERLINK("#'Input - Manure sent off-site'!A1", "Manure sent off-site")</f>
        <v>Manure sent off-site</v>
      </c>
      <c r="D19" s="30" t="s">
        <v>820</v>
      </c>
      <c r="E19" s="23" t="s">
        <v>815</v>
      </c>
      <c r="F19" s="23" t="s">
        <v>806</v>
      </c>
      <c r="G19" s="23" t="s">
        <v>807</v>
      </c>
      <c r="H19" s="86">
        <v>50</v>
      </c>
      <c r="I19" s="23" t="s">
        <v>810</v>
      </c>
    </row>
    <row r="20" spans="1:11" ht="20.100000000000001" customHeight="1" x14ac:dyDescent="0.25">
      <c r="A20" s="92" t="str">
        <f>HYPERLINK("#'Input - Solid waste'!A1", "Solid waste")</f>
        <v>Solid waste</v>
      </c>
      <c r="D20" s="30" t="s">
        <v>821</v>
      </c>
      <c r="E20" s="23" t="s">
        <v>815</v>
      </c>
      <c r="F20" s="23" t="s">
        <v>806</v>
      </c>
      <c r="G20" s="23" t="s">
        <v>809</v>
      </c>
      <c r="H20" s="86">
        <v>50</v>
      </c>
      <c r="I20" s="23" t="s">
        <v>30</v>
      </c>
    </row>
    <row r="21" spans="1:11" ht="20.100000000000001" customHeight="1" x14ac:dyDescent="0.25">
      <c r="D21" s="30" t="s">
        <v>822</v>
      </c>
      <c r="E21" s="23" t="s">
        <v>815</v>
      </c>
      <c r="F21" s="23" t="s">
        <v>806</v>
      </c>
      <c r="G21" s="23" t="s">
        <v>809</v>
      </c>
      <c r="H21" s="86">
        <v>50</v>
      </c>
      <c r="I21" s="23" t="s">
        <v>810</v>
      </c>
    </row>
    <row r="22" spans="1:11" ht="20.100000000000001" customHeight="1" x14ac:dyDescent="0.25">
      <c r="D22" s="30" t="s">
        <v>823</v>
      </c>
      <c r="E22" s="23" t="s">
        <v>815</v>
      </c>
      <c r="F22" s="23" t="s">
        <v>824</v>
      </c>
      <c r="G22" s="23" t="s">
        <v>807</v>
      </c>
      <c r="H22" s="86">
        <v>50</v>
      </c>
      <c r="I22" s="23" t="s">
        <v>30</v>
      </c>
    </row>
    <row r="23" spans="1:11" ht="20.100000000000001" customHeight="1" x14ac:dyDescent="0.25">
      <c r="A23" s="6" t="s">
        <v>2</v>
      </c>
      <c r="D23" s="30" t="s">
        <v>825</v>
      </c>
      <c r="E23" s="23" t="s">
        <v>815</v>
      </c>
      <c r="F23" s="23" t="s">
        <v>824</v>
      </c>
      <c r="G23" s="23" t="s">
        <v>807</v>
      </c>
      <c r="H23" s="86">
        <v>50</v>
      </c>
      <c r="I23" s="23" t="s">
        <v>810</v>
      </c>
    </row>
    <row r="24" spans="1:11" ht="20.100000000000001" customHeight="1" x14ac:dyDescent="0.25">
      <c r="A24" s="5" t="str">
        <f>HYPERLINK("#'3.2.1.1-2 Enteric Methane'!A1", "3.2.1.1-2 Enteric methane")</f>
        <v>3.2.1.1-2 Enteric methane</v>
      </c>
      <c r="D24" s="30" t="s">
        <v>826</v>
      </c>
      <c r="E24" s="23" t="s">
        <v>815</v>
      </c>
      <c r="F24" s="23" t="s">
        <v>824</v>
      </c>
      <c r="G24" s="23" t="s">
        <v>809</v>
      </c>
      <c r="H24" s="86">
        <v>50</v>
      </c>
      <c r="I24" s="23" t="s">
        <v>30</v>
      </c>
    </row>
    <row r="25" spans="1:11" ht="20.100000000000001" customHeight="1" x14ac:dyDescent="0.25">
      <c r="A25" s="5" t="str">
        <f>HYPERLINK("#'4.2.1.1-2 Methane'!A1", "4.2.1.1-2 Manure methane")</f>
        <v>4.2.1.1-2 Manure methane</v>
      </c>
      <c r="D25" s="30" t="s">
        <v>827</v>
      </c>
      <c r="E25" s="23" t="s">
        <v>815</v>
      </c>
      <c r="F25" s="23" t="s">
        <v>824</v>
      </c>
      <c r="G25" s="23" t="s">
        <v>809</v>
      </c>
      <c r="H25" s="86">
        <v>50</v>
      </c>
      <c r="I25" s="23" t="s">
        <v>810</v>
      </c>
    </row>
    <row r="26" spans="1:11" ht="20.100000000000001" customHeight="1" x14ac:dyDescent="0.25">
      <c r="A26" s="5" t="str">
        <f>HYPERLINK("#'4.2.1.3-4 Soil direct N20'!A1", "4.2.1.3-4 Soil direct N2O")</f>
        <v>4.2.1.3-4 Soil direct N2O</v>
      </c>
      <c r="D26" s="30" t="s">
        <v>828</v>
      </c>
      <c r="E26" s="23" t="s">
        <v>829</v>
      </c>
      <c r="F26" s="23" t="s">
        <v>806</v>
      </c>
      <c r="G26" s="23" t="s">
        <v>809</v>
      </c>
      <c r="H26" s="86">
        <v>50</v>
      </c>
      <c r="I26" s="23" t="s">
        <v>30</v>
      </c>
    </row>
    <row r="27" spans="1:11" ht="20.100000000000001" customHeight="1" x14ac:dyDescent="0.25">
      <c r="A27" s="5" t="str">
        <f>HYPERLINK("#'4.2.1.5-6 Soil Atmos Dep'!A1", "4.2.1.5-6 Soil atm. deposition")</f>
        <v>4.2.1.5-6 Soil atm. deposition</v>
      </c>
      <c r="D27" s="30" t="s">
        <v>830</v>
      </c>
      <c r="E27" s="23" t="s">
        <v>829</v>
      </c>
      <c r="F27" s="23" t="s">
        <v>806</v>
      </c>
      <c r="G27" s="23" t="s">
        <v>809</v>
      </c>
      <c r="H27" s="86">
        <v>50</v>
      </c>
      <c r="I27" s="23" t="s">
        <v>810</v>
      </c>
    </row>
    <row r="28" spans="1:11" ht="20.100000000000001" customHeight="1" x14ac:dyDescent="0.25">
      <c r="A28" s="5" t="str">
        <f>HYPERLINK("#'4.2.1.7-8 Soil leach runoff'!A1", "4.2.1.7-8 Soil leach &amp; runoff")</f>
        <v>4.2.1.7-8 Soil leach &amp; runoff</v>
      </c>
      <c r="D28" s="30" t="s">
        <v>831</v>
      </c>
      <c r="E28" s="23" t="s">
        <v>829</v>
      </c>
      <c r="F28" s="23" t="s">
        <v>824</v>
      </c>
      <c r="G28" s="23" t="s">
        <v>809</v>
      </c>
      <c r="H28" s="86">
        <v>50</v>
      </c>
      <c r="I28" s="23" t="s">
        <v>30</v>
      </c>
    </row>
    <row r="29" spans="1:11" ht="20.100000000000001" customHeight="1" x14ac:dyDescent="0.25">
      <c r="A29" s="5" t="str">
        <f>HYPERLINK("#'5.1.1.1-2 Inorganic fert N2O'!A1", "5.1.1.1-2 Inorganic fert N2O")</f>
        <v>5.1.1.1-2 Inorganic fert N2O</v>
      </c>
      <c r="D29" s="30" t="s">
        <v>832</v>
      </c>
      <c r="E29" s="23" t="s">
        <v>829</v>
      </c>
      <c r="F29" s="23" t="s">
        <v>824</v>
      </c>
      <c r="G29" s="23" t="s">
        <v>809</v>
      </c>
      <c r="H29" s="86">
        <v>50</v>
      </c>
      <c r="I29" s="23" t="s">
        <v>810</v>
      </c>
      <c r="K29" s="168"/>
    </row>
    <row r="30" spans="1:11" ht="20.100000000000001" customHeight="1" x14ac:dyDescent="0.25">
      <c r="A30" s="5" t="str">
        <f>HYPERLINK("#'5.1.1.3-4 Inorganic fert CO2'!A1", "5.1.1.3-4 Inorganic fert CO2")</f>
        <v>5.1.1.3-4 Inorganic fert CO2</v>
      </c>
      <c r="D30" s="30" t="s">
        <v>833</v>
      </c>
      <c r="E30" s="23" t="s">
        <v>829</v>
      </c>
      <c r="F30" s="23" t="s">
        <v>824</v>
      </c>
      <c r="G30" s="23" t="s">
        <v>807</v>
      </c>
      <c r="H30" s="86">
        <v>50</v>
      </c>
      <c r="I30" s="23" t="s">
        <v>30</v>
      </c>
      <c r="K30" s="168"/>
    </row>
    <row r="31" spans="1:11" ht="20.100000000000001" customHeight="1" x14ac:dyDescent="0.25">
      <c r="A31" s="5" t="str">
        <f>HYPERLINK("#'5.2.1.1-2 Organic Fert N2O'!A1", "5.2.1.1-2 Organic fert N2O")</f>
        <v>5.2.1.1-2 Organic fert N2O</v>
      </c>
      <c r="D31" s="30" t="s">
        <v>834</v>
      </c>
      <c r="E31" s="23" t="s">
        <v>829</v>
      </c>
      <c r="F31" s="23" t="s">
        <v>824</v>
      </c>
      <c r="G31" s="23" t="s">
        <v>807</v>
      </c>
      <c r="H31" s="86">
        <v>50</v>
      </c>
      <c r="I31" s="23" t="s">
        <v>810</v>
      </c>
      <c r="K31" s="168"/>
    </row>
    <row r="32" spans="1:11" ht="20.100000000000001" customHeight="1" x14ac:dyDescent="0.25">
      <c r="A32" s="5" t="str">
        <f>HYPERLINK("#'5.3.1.1-2 Lime CO2'!A1", "5.3.1.1-2 Lime CO2")</f>
        <v>5.3.1.1-2 Lime CO2</v>
      </c>
      <c r="D32" s="30" t="s">
        <v>832</v>
      </c>
      <c r="E32" s="23" t="s">
        <v>829</v>
      </c>
      <c r="F32" s="23" t="s">
        <v>824</v>
      </c>
      <c r="G32" s="23" t="s">
        <v>809</v>
      </c>
      <c r="H32" s="86">
        <v>50</v>
      </c>
      <c r="I32" s="23" t="s">
        <v>810</v>
      </c>
      <c r="K32" s="168"/>
    </row>
    <row r="33" spans="1:12" ht="20.100000000000001" customHeight="1" x14ac:dyDescent="0.25">
      <c r="A33" s="5" t="str">
        <f>HYPERLINK("#'5.4.1.1-4 Atmos deposition'!A1", "5.4.1.1-4 Atmos. deposition")</f>
        <v>5.4.1.1-4 Atmos. deposition</v>
      </c>
      <c r="K33" s="168"/>
    </row>
    <row r="34" spans="1:12" ht="20.100000000000001" customHeight="1" x14ac:dyDescent="0.25">
      <c r="A34" s="5" t="str">
        <f>HYPERLINK("#'5.5.1.1-2 Leaching and runoff'!A1", "5.5.1.1-2 Leaching &amp; runoff")</f>
        <v>5.5.1.1-2 Leaching &amp; runoff</v>
      </c>
      <c r="K34" s="168"/>
    </row>
    <row r="35" spans="1:12" ht="20.100000000000001" customHeight="1" x14ac:dyDescent="0.25">
      <c r="A35" s="5" t="str">
        <f>HYPERLINK("#'6.2.1.1-2 Pasture residue N2O'!A1", "6.2.1.1-2 Pasture residue N2O")</f>
        <v>6.2.1.1-2 Pasture residue N2O</v>
      </c>
    </row>
    <row r="36" spans="1:12" ht="20.100000000000001" customHeight="1" x14ac:dyDescent="0.25">
      <c r="A36" s="5" t="str">
        <f>HYPERLINK("#'6.3.1.1-2 Leach runoff pasture'!A1", "6.3.1.1-2 Leach &amp; runoff (pasture)")</f>
        <v>6.3.1.1-2 Leach &amp; runoff (pasture)</v>
      </c>
      <c r="L36" s="168"/>
    </row>
    <row r="37" spans="1:12" ht="20.100000000000001" customHeight="1" x14ac:dyDescent="0.25">
      <c r="A37" s="5" t="str">
        <f>HYPERLINK("#'8.1.1.1-2 Transport fuel'!A1", "8.1.1.1-2 Transport fuel")</f>
        <v>8.1.1.1-2 Transport fuel</v>
      </c>
      <c r="L37" s="168"/>
    </row>
    <row r="38" spans="1:12" ht="20.100000000000001" customHeight="1" x14ac:dyDescent="0.25">
      <c r="A38" s="5" t="str">
        <f>HYPERLINK("#'8.2.1.1-2 Stationary fuel'!A1", "8.2.1.1-2 Stationary fuel")</f>
        <v>8.2.1.1-2 Stationary fuel</v>
      </c>
      <c r="C38" s="153"/>
    </row>
    <row r="39" spans="1:12" ht="20.100000000000001" customHeight="1" x14ac:dyDescent="0.25">
      <c r="A39" s="5" t="str">
        <f>HYPERLINK("#'14.1.1-2 Purchased electricity'!A1", "14.1.1-2 Purchased electricity")</f>
        <v>14.1.1-2 Purchased electricity</v>
      </c>
      <c r="C39" s="153"/>
      <c r="J39" s="153"/>
    </row>
    <row r="40" spans="1:12" s="168" customFormat="1" ht="20.100000000000001" customHeight="1" x14ac:dyDescent="0.25">
      <c r="A40" s="5" t="str">
        <f>HYPERLINK("#'15 Scope 3'!A1", "15 Scope 3")</f>
        <v>15 Scope 3</v>
      </c>
      <c r="C40" s="1"/>
      <c r="D40" s="1"/>
      <c r="E40" s="1"/>
      <c r="F40" s="1"/>
      <c r="G40" s="1"/>
      <c r="H40" s="1"/>
      <c r="I40" s="1"/>
      <c r="J40" s="1"/>
    </row>
    <row r="41" spans="1:12" s="168" customFormat="1" ht="20.100000000000001" customHeight="1" x14ac:dyDescent="0.25">
      <c r="A41" s="5" t="str">
        <f>HYPERLINK("#'Calcs - Manure sent off-site'!A1", "Calcs - Manure sent off-site")</f>
        <v>Calcs - Manure sent off-site</v>
      </c>
      <c r="C41" s="1"/>
      <c r="D41" s="1"/>
      <c r="E41" s="1"/>
      <c r="F41" s="1"/>
      <c r="G41" s="1"/>
      <c r="H41" s="1"/>
      <c r="I41" s="1"/>
      <c r="J41" s="1"/>
      <c r="L41" s="168" t="s">
        <v>684</v>
      </c>
    </row>
    <row r="42" spans="1:12" ht="20.100000000000001" customHeight="1" x14ac:dyDescent="0.25">
      <c r="A42" s="5" t="str">
        <f>HYPERLINK("#'10.1.1-2 Solid waste treatment'!A1", "10.1.1-2 Solid waste treatment")</f>
        <v>10.1.1-2 Solid waste treatment</v>
      </c>
    </row>
    <row r="43" spans="1:12" ht="20.100000000000001" customHeight="1" x14ac:dyDescent="0.25"/>
    <row r="44" spans="1:12" ht="20.100000000000001" customHeight="1" x14ac:dyDescent="0.25"/>
    <row r="45" spans="1:12" ht="20.100000000000001" customHeight="1" x14ac:dyDescent="0.25">
      <c r="A45" s="94" t="s">
        <v>1</v>
      </c>
    </row>
    <row r="46" spans="1:12" ht="20.100000000000001" customHeight="1" x14ac:dyDescent="0.25">
      <c r="A46" s="5" t="str">
        <f>HYPERLINK("#'Constants - Pasture Beef'!A1", "Constants - Pasture Beef")</f>
        <v>Constants - Pasture Beef</v>
      </c>
    </row>
    <row r="47" spans="1:12" ht="20.100000000000001" customHeight="1" x14ac:dyDescent="0.25">
      <c r="A47" s="5" t="str">
        <f>HYPERLINK("#'Constants - Ag Residue'!A1", "Constants - Ag residue")</f>
        <v>Constants - Ag residue</v>
      </c>
    </row>
    <row r="48" spans="1:12"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Common'!A1", "Constants - Common")</f>
        <v>Constants - Common</v>
      </c>
    </row>
    <row r="54" spans="1:1" ht="20.100000000000001" customHeight="1" x14ac:dyDescent="0.25">
      <c r="A54" s="5" t="str">
        <f>HYPERLINK("#'Acknowledgements'!A1", "Acknowledgements")</f>
        <v>Acknowledgements</v>
      </c>
    </row>
    <row r="55" spans="1:1" ht="20.100000000000001" customHeight="1" x14ac:dyDescent="0.25">
      <c r="A55" s="5" t="str">
        <f>HYPERLINK("#'Constants - Solid Waste'!A1", "Constants - Solid Waste")</f>
        <v>Constants - Solid Waste</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4"/>
    </row>
    <row r="74" spans="4:4" ht="20.100000000000001" customHeight="1" x14ac:dyDescent="0.25"/>
    <row r="75" spans="4:4" ht="20.100000000000001" customHeight="1" x14ac:dyDescent="0.25">
      <c r="D75" s="194"/>
    </row>
    <row r="76" spans="4:4" ht="20.100000000000001" customHeight="1" x14ac:dyDescent="0.25">
      <c r="D76" s="19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8"/>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0D1D36D2-982E-480D-AF72-CE31E80F3E10}">
      <formula1>INDIRECT("Table_WasteTypes_" &amp; SUBSTITUTE(E10, " ", "") &amp; "[Waste type w]")</formula1>
    </dataValidation>
    <dataValidation type="list" allowBlank="1" showInputMessage="1" showErrorMessage="1" sqref="I10:I32" xr:uid="{E42868CD-0120-49EB-B970-1BA0599AC159}">
      <formula1>"tonnes, cubic metres m3"</formula1>
    </dataValidation>
    <dataValidation type="list" allowBlank="1" showInputMessage="1" showErrorMessage="1" sqref="G10:G32" xr:uid="{19D76B74-20E8-48D1-9127-3950F43CBFE8}">
      <formula1>"Treated on-site, Removed and treated off-site"</formula1>
    </dataValidation>
    <dataValidation type="list" allowBlank="1" showInputMessage="1" showErrorMessage="1" sqref="E10:E32" xr:uid="{F8A8FAA9-B6EF-4FF8-AB60-F16FD801B393}">
      <formula1>INDIRECT(_xlfn.UNIQUE("Table_SourceData_WasteSolid_WasteTreatmentEFs[Treatment type t]"))</formula1>
    </dataValidation>
    <dataValidation type="list" allowBlank="1" showInputMessage="1" showErrorMessage="1" sqref="E35" xr:uid="{43C4DF2A-99CF-4C8C-9A4F-01C0DAB13653}">
      <formula1>INDIRECT("Table_SourceData_ElectricityEFs[State, Territory or grid description]")</formula1>
    </dataValidation>
    <dataValidation type="list" allowBlank="1" showInputMessage="1" showErrorMessage="1" sqref="E89" xr:uid="{F690A5D1-6623-42E2-A45C-BCF9BFAB3DBE}">
      <formula1>INDIRECT("Table_SourceData_Swine_IrrigationMethods[Irrigation method]")</formula1>
    </dataValidation>
    <dataValidation type="list" allowBlank="1" showInputMessage="1" showErrorMessage="1" sqref="E273 E278 E283 E317 E312 E307 E185 E173 E149 E161" xr:uid="{33EF5CB5-549B-4C95-B1FB-465546D8C4C6}">
      <formula1>"Yes, No"</formula1>
    </dataValidation>
    <dataValidation type="list" allowBlank="1" showInputMessage="1" showErrorMessage="1" sqref="E249" xr:uid="{AFEE8692-06C7-4F94-A172-408727CB6307}">
      <formula1>INDIRECT("Table_SourceData_Dairy_ProductionSystemTemplates[Area]")</formula1>
    </dataValidation>
    <dataValidation type="list" allowBlank="1" showInputMessage="1" showErrorMessage="1" sqref="D301" xr:uid="{50800C14-E494-4576-8DD6-0AE55884F4F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78B41-E40F-4282-86C4-D737748EB899}">
  <sheetPr>
    <tabColor rgb="FF008000"/>
  </sheetPr>
  <dimension ref="A1:L342"/>
  <sheetViews>
    <sheetView showGridLines="0" topLeftCell="A174"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835</v>
      </c>
    </row>
    <row r="2" spans="1:12" s="3" customFormat="1" ht="20.100000000000001" customHeight="1" x14ac:dyDescent="0.25">
      <c r="A2"/>
    </row>
    <row r="3" spans="1:12" ht="20.100000000000001" customHeight="1" x14ac:dyDescent="0.25">
      <c r="A3" s="5" t="str">
        <f>HYPERLINK("#'Home'!A1", "Home")</f>
        <v>Home</v>
      </c>
      <c r="C3" s="33"/>
      <c r="D3" s="33" t="s">
        <v>151</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7" t="s">
        <v>258</v>
      </c>
      <c r="E7" s="107"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260</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132</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Pasture'!A1", "Pasture")</f>
        <v>Pasture</v>
      </c>
      <c r="D13" s="109" t="str" cm="1">
        <f t="array" ref="D13:E16">_xlfn.CHOOSECOLS(WasteSolid_Equations.VEERG_10_1_1_1__2_MassOfWasteFromVolume_Arguments(),1,2)</f>
        <v>V_wt</v>
      </c>
      <c r="E13" s="110" t="str">
        <v>volume of solid waste type w being sent to treatment facility t</v>
      </c>
      <c r="F13" s="112"/>
      <c r="G13" s="109"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t="str">
        <f>HYPERLINK("#'Input - Fertiliser'!A1", "Fertiliser")</f>
        <v>Fertiliser</v>
      </c>
      <c r="D14" s="109" t="str">
        <v>VTM_w</v>
      </c>
      <c r="E14" s="110" t="str">
        <v>conversion factor of volume to mass for waste type w</v>
      </c>
      <c r="F14" s="112"/>
      <c r="G14" s="109"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t="str">
        <f>HYPERLINK("#'Input - Fuel'!A1", "Fuel")</f>
        <v>Fuel</v>
      </c>
      <c r="D15" s="109" t="str">
        <v>w</v>
      </c>
      <c r="E15" s="110" t="str">
        <v>waste type</v>
      </c>
      <c r="F15" s="112"/>
      <c r="G15" s="109"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t="str">
        <f>HYPERLINK("#'Input - Electricity'!A1", "Electricity")</f>
        <v>Electricity</v>
      </c>
      <c r="D16" s="109" t="str">
        <v>t</v>
      </c>
      <c r="E16" s="110" t="str">
        <v>treatment facility</v>
      </c>
      <c r="F16" s="112"/>
      <c r="G16" s="109"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t="str">
        <f>HYPERLINK("#'Input - Farm Inputs'!A1", "Farm Inputs")</f>
        <v>Farm Inputs</v>
      </c>
    </row>
    <row r="18" spans="1:9" ht="20.100000000000001" customHeight="1" x14ac:dyDescent="0.25">
      <c r="A18" s="5" t="str">
        <f>HYPERLINK("#'Input - Freight'!A1", "Freight")</f>
        <v>Freight</v>
      </c>
      <c r="D18" s="116" t="s">
        <v>836</v>
      </c>
    </row>
    <row r="19" spans="1:9" ht="20.100000000000001" customHeight="1" x14ac:dyDescent="0.25">
      <c r="A19" s="5" t="str">
        <f>HYPERLINK("#'Input - Manure sent off-site'!A1", "Manure sent off-site")</f>
        <v>Manure sent off-site</v>
      </c>
      <c r="D19" s="117" t="s">
        <v>837</v>
      </c>
    </row>
    <row r="20" spans="1:9" ht="20.100000000000001" customHeight="1" x14ac:dyDescent="0.25">
      <c r="A20" s="5" t="str">
        <f>HYPERLINK("#'Input - Solid waste'!A1", "Solid waste")</f>
        <v>Solid waste</v>
      </c>
      <c r="D20" s="119" t="s">
        <v>838</v>
      </c>
      <c r="E20" s="119" t="s">
        <v>839</v>
      </c>
      <c r="F20" s="119"/>
      <c r="G20" s="119" t="s">
        <v>840</v>
      </c>
      <c r="H20" s="118" t="s">
        <v>841</v>
      </c>
      <c r="I20" s="118" t="s">
        <v>842</v>
      </c>
    </row>
    <row r="21" spans="1:9" ht="20.100000000000001" customHeight="1" x14ac:dyDescent="0.25">
      <c r="D21" s="109" t="str" cm="1">
        <f t="array" ref="D21:D54">Table_SourceData_WasteSolid_WasteTreatmentEFs[Treatment type t]</f>
        <v>Landfill</v>
      </c>
      <c r="E21" s="110" t="str" cm="1">
        <f t="array" ref="E21:E54">Table_SourceData_WasteSolid_WasteTreatmentEFs[Waste type w]</f>
        <v>Food waste (including animal carcasses, spoiled animal feed or crop)</v>
      </c>
      <c r="F21" s="172"/>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D22" s="109" t="str">
        <v>Landfill</v>
      </c>
      <c r="E22" s="110" t="str">
        <v>Paper and cardboard</v>
      </c>
      <c r="F22" s="172"/>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6" t="s">
        <v>2</v>
      </c>
      <c r="D23" s="109" t="str">
        <v>Landfill</v>
      </c>
      <c r="E23" s="110" t="str">
        <v>Green waste (including crop residues or prunings)</v>
      </c>
      <c r="F23" s="172"/>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HYPERLINK("#'3.2.1.1-2 Enteric Methane'!A1", "3.2.1.1-2 Enteric methane")</f>
        <v>3.2.1.1-2 Enteric methane</v>
      </c>
      <c r="D24" s="109" t="str">
        <v>Landfill</v>
      </c>
      <c r="E24" s="110" t="str">
        <v>Wood</v>
      </c>
      <c r="F24" s="172"/>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HYPERLINK("#'4.2.1.1-2 Methane'!A1", "4.2.1.1-2 Manure methane")</f>
        <v>4.2.1.1-2 Manure methane</v>
      </c>
      <c r="D25" s="109" t="str">
        <v>Landfill</v>
      </c>
      <c r="E25" s="110" t="str">
        <v>Textiles</v>
      </c>
      <c r="F25" s="172"/>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HYPERLINK("#'4.2.1.3-4 Soil direct N20'!A1", "4.2.1.3-4 Soil direct N2O")</f>
        <v>4.2.1.3-4 Soil direct N2O</v>
      </c>
      <c r="D26" s="109" t="str">
        <v>Landfill</v>
      </c>
      <c r="E26" s="110" t="str">
        <v>Sludge</v>
      </c>
      <c r="F26" s="172"/>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HYPERLINK("#'4.2.1.5-6 Soil Atmos Dep'!A1", "4.2.1.5-6 Soil atm. deposition")</f>
        <v>4.2.1.5-6 Soil atm. deposition</v>
      </c>
      <c r="D27" s="109" t="str">
        <v>Landfill</v>
      </c>
      <c r="E27" s="110" t="str">
        <v>Rubber and leather</v>
      </c>
      <c r="F27" s="172"/>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HYPERLINK("#'4.2.1.7-8 Soil leach runoff'!A1", "4.2.1.7-8 Soil leach &amp; runoff")</f>
        <v>4.2.1.7-8 Soil leach &amp; runoff</v>
      </c>
      <c r="D28" s="109" t="str">
        <v>Landfill</v>
      </c>
      <c r="E28" s="110" t="str">
        <v>Inert waste (including concrete, metal, plastic or glass)</v>
      </c>
      <c r="F28" s="172"/>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HYPERLINK("#'5.1.1.1-2 Inorganic fert N2O'!A1", "5.1.1.1-2 Inorganic fert N2O")</f>
        <v>5.1.1.1-2 Inorganic fert N2O</v>
      </c>
      <c r="D29" s="109" t="str">
        <v>Landfill</v>
      </c>
      <c r="E29" s="110" t="str">
        <v>Municipal solid waste</v>
      </c>
      <c r="F29" s="172"/>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HYPERLINK("#'5.1.1.3-4 Inorganic fert CO2'!A1", "5.1.1.3-4 Inorganic fert CO2")</f>
        <v>5.1.1.3-4 Inorganic fert CO2</v>
      </c>
      <c r="D30" s="109" t="str">
        <v>Landfill</v>
      </c>
      <c r="E30" s="110" t="str">
        <v>Commercial and industrial waste</v>
      </c>
      <c r="F30" s="172"/>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HYPERLINK("#'5.2.1.1-2 Organic Fert N2O'!A1", "5.2.1.1-2 Organic fert N2O")</f>
        <v>5.2.1.1-2 Organic fert N2O</v>
      </c>
      <c r="D31" s="109" t="str">
        <v>Landfill</v>
      </c>
      <c r="E31" s="110" t="str">
        <v>Construction and demolition waste</v>
      </c>
      <c r="F31" s="172"/>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HYPERLINK("#'5.3.1.1-2 Lime CO2'!A1", "5.3.1.1-2 Lime CO2")</f>
        <v>5.3.1.1-2 Lime CO2</v>
      </c>
      <c r="D32" s="109" t="str">
        <v>Incineration</v>
      </c>
      <c r="E32" s="110" t="str">
        <v>Food waste, green waste, wood, sludge</v>
      </c>
      <c r="F32" s="172"/>
      <c r="G32" s="25" t="s">
        <v>563</v>
      </c>
      <c r="H32" s="25" t="s">
        <v>563</v>
      </c>
      <c r="I32" s="25" t="s">
        <v>563</v>
      </c>
    </row>
    <row r="33" spans="1:9" ht="20.100000000000001" customHeight="1" x14ac:dyDescent="0.25">
      <c r="A33" s="5" t="str">
        <f>HYPERLINK("#'5.4.1.1-4 Atmos deposition'!A1", "5.4.1.1-4 Atmos. deposition")</f>
        <v>5.4.1.1-4 Atmos. deposition</v>
      </c>
      <c r="D33" s="109" t="str">
        <v>Incineration</v>
      </c>
      <c r="E33" s="110" t="str">
        <v>Food waste (including animal carcasses, spoiled animal feed or crop)</v>
      </c>
      <c r="F33" s="172"/>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HYPERLINK("#'5.5.1.1-2 Leaching and runoff'!A1", "5.5.1.1-2 Leaching &amp; runoff")</f>
        <v>5.5.1.1-2 Leaching &amp; runoff</v>
      </c>
      <c r="D34" s="109" t="str">
        <v>Incineration</v>
      </c>
      <c r="E34" s="110" t="str">
        <v>Green waste (including crop residues or prunings)</v>
      </c>
      <c r="F34" s="172"/>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HYPERLINK("#'6.2.1.1-2 Pasture residue N2O'!A1", "6.2.1.1-2 Pasture residue N2O")</f>
        <v>6.2.1.1-2 Pasture residue N2O</v>
      </c>
      <c r="D35" s="109" t="str">
        <v>Incineration</v>
      </c>
      <c r="E35" s="110" t="str">
        <v>Wood</v>
      </c>
      <c r="F35" s="172"/>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HYPERLINK("#'6.3.1.1-2 Leach runoff pasture'!A1", "6.3.1.1-2 Leach &amp; runoff (pasture)")</f>
        <v>6.3.1.1-2 Leach &amp; runoff (pasture)</v>
      </c>
      <c r="D36" s="109" t="str">
        <v>Incineration</v>
      </c>
      <c r="E36" s="110" t="str">
        <v>Sludge</v>
      </c>
      <c r="F36" s="172"/>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HYPERLINK("#'8.1.1.1-2 Transport fuel'!A1", "8.1.1.1-2 Transport fuel")</f>
        <v>8.1.1.1-2 Transport fuel</v>
      </c>
      <c r="D37" s="109" t="str">
        <v>Incineration</v>
      </c>
      <c r="E37" s="110" t="str">
        <v>Paper and cardboard</v>
      </c>
      <c r="F37" s="172"/>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HYPERLINK("#'8.2.1.1-2 Stationary fuel'!A1", "8.2.1.1-2 Stationary fuel")</f>
        <v>8.2.1.1-2 Stationary fuel</v>
      </c>
      <c r="D38" s="109" t="str">
        <v>Incineration</v>
      </c>
      <c r="E38" s="110" t="str">
        <v>Textiles</v>
      </c>
      <c r="F38" s="172"/>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HYPERLINK("#'14.1.1-2 Purchased electricity'!A1", "14.1.1-2 Purchased electricity")</f>
        <v>14.1.1-2 Purchased electricity</v>
      </c>
      <c r="D39" s="109" t="str">
        <v>Incineration</v>
      </c>
      <c r="E39" s="110" t="str">
        <v>Rubber and leather</v>
      </c>
      <c r="F39" s="172"/>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HYPERLINK("#'15 Scope 3'!A1", "15 Scope 3")</f>
        <v>15 Scope 3</v>
      </c>
      <c r="D40" s="109" t="str">
        <v>Incineration</v>
      </c>
      <c r="E40" s="109" t="str">
        <v>Inert waste (including concrete, metal, plastic or glass)</v>
      </c>
      <c r="F40" s="109"/>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HYPERLINK("#'Calcs - Manure sent off-site'!A1", "Calcs - Manure sent off-site")</f>
        <v>Calcs - Manure sent off-site</v>
      </c>
      <c r="D41" s="109" t="str">
        <v>Incineration</v>
      </c>
      <c r="E41" s="110" t="str">
        <v>Municipal solid waste</v>
      </c>
      <c r="F41" s="112"/>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108" t="str">
        <f>HYPERLINK("#'10.1.1-2 Solid waste treatment'!A1", "10.1.1-2 Solid waste treatment")</f>
        <v>10.1.1-2 Solid waste treatment</v>
      </c>
      <c r="D42" s="109" t="str">
        <v>Incineration</v>
      </c>
      <c r="E42" s="110" t="str">
        <v>Commercial and industrial waste</v>
      </c>
      <c r="F42" s="112"/>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D43" s="109" t="str">
        <v>Composting</v>
      </c>
      <c r="E43" s="110" t="str">
        <v>All organic waste</v>
      </c>
      <c r="F43" s="112"/>
      <c r="G43" s="25" t="s">
        <v>563</v>
      </c>
      <c r="H43" s="25" t="s">
        <v>563</v>
      </c>
      <c r="I43" s="25" t="s">
        <v>563</v>
      </c>
    </row>
    <row r="44" spans="1:9" ht="20.100000000000001" customHeight="1" x14ac:dyDescent="0.25">
      <c r="D44" s="109" t="str">
        <v>Composting</v>
      </c>
      <c r="E44" s="110" t="str">
        <v>Food waste (including animal carcasses, spoiled animal feed or crop)</v>
      </c>
      <c r="F44" s="112"/>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94" t="s">
        <v>1</v>
      </c>
      <c r="D45" s="109" t="str">
        <v>Composting</v>
      </c>
      <c r="E45" s="110" t="str">
        <v>Green waste (including crop residues or prunings)</v>
      </c>
      <c r="F45" s="112"/>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Pasture Beef'!A1", "Constants - Pasture Beef")</f>
        <v>Constants - Pasture Beef</v>
      </c>
      <c r="D46" s="109" t="str">
        <v>Composting</v>
      </c>
      <c r="E46" s="110" t="str">
        <v>Wood</v>
      </c>
      <c r="F46" s="112"/>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Ag Residue'!A1", "Constants - Ag residue")</f>
        <v>Constants - Ag residue</v>
      </c>
      <c r="D47" s="109" t="str">
        <v>Composting</v>
      </c>
      <c r="E47" s="110" t="str">
        <v>Sludge</v>
      </c>
      <c r="F47" s="112"/>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Common Livestock'!A1", "Constants - Common Livestock")</f>
        <v>Constants - Common Livestock</v>
      </c>
      <c r="D48" s="109" t="str">
        <v>Composting</v>
      </c>
      <c r="E48" s="110" t="str">
        <v>Paper and cardboard</v>
      </c>
      <c r="F48" s="112"/>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Electricity'!A1", "Constants - Electricity")</f>
        <v>Constants - Electricity</v>
      </c>
      <c r="D49" s="109" t="str">
        <v>Anaerobic digestion</v>
      </c>
      <c r="E49" s="110" t="str">
        <v>All organic waste</v>
      </c>
      <c r="F49" s="112"/>
      <c r="G49" s="25" t="s">
        <v>563</v>
      </c>
      <c r="H49" s="25" t="s">
        <v>563</v>
      </c>
      <c r="I49" s="25" t="s">
        <v>563</v>
      </c>
    </row>
    <row r="50" spans="1:9" ht="20.100000000000001" customHeight="1" x14ac:dyDescent="0.25">
      <c r="A50" s="5" t="str">
        <f>HYPERLINK("#'Constants - Fertiliser'!A1", "Constants - Fertiliser")</f>
        <v>Constants - Fertiliser</v>
      </c>
      <c r="D50" s="109" t="str">
        <v>Anaerobic digestion</v>
      </c>
      <c r="E50" s="110" t="str">
        <v>Food waste (including animal carcasses, spoiled animal feed or crop)</v>
      </c>
      <c r="F50" s="112"/>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Fuel'!A1", "Constants - Fuel")</f>
        <v>Constants - Fuel</v>
      </c>
      <c r="D51" s="109" t="str">
        <v>Anaerobic digestion</v>
      </c>
      <c r="E51" s="110" t="str">
        <v>Green waste (including crop residues or prunings)</v>
      </c>
      <c r="F51" s="112"/>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Scope 3'!A1", "Constants - Scope 3")</f>
        <v>Constants - Scope 3</v>
      </c>
      <c r="D52" s="109" t="str">
        <v>Anaerobic digestion</v>
      </c>
      <c r="E52" s="110" t="str">
        <v>Wood</v>
      </c>
      <c r="F52" s="112"/>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Common'!A1", "Constants - Common")</f>
        <v>Constants - Common</v>
      </c>
      <c r="D53" s="109" t="str">
        <v>Anaerobic digestion</v>
      </c>
      <c r="E53" s="110" t="str">
        <v>Sludge</v>
      </c>
      <c r="F53" s="112"/>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HYPERLINK("#'Acknowledgements'!A1", "Acknowledgements")</f>
        <v>Acknowledgements</v>
      </c>
      <c r="D54" s="109" t="str">
        <v>Anaerobic digestion</v>
      </c>
      <c r="E54" s="110" t="str">
        <v>Paper and cardboard</v>
      </c>
      <c r="F54" s="112"/>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Solid Waste'!A1", "Constants - Solid Waste")</f>
        <v>Constants - Solid Waste</v>
      </c>
    </row>
    <row r="56" spans="1:9" ht="20.100000000000001" customHeight="1" x14ac:dyDescent="0.25">
      <c r="D56" s="116" t="s">
        <v>843</v>
      </c>
    </row>
    <row r="57" spans="1:9" ht="20.100000000000001" customHeight="1" x14ac:dyDescent="0.25">
      <c r="D57" s="117" t="s">
        <v>844</v>
      </c>
    </row>
    <row r="58" spans="1:9" ht="20.100000000000001" customHeight="1" x14ac:dyDescent="0.25">
      <c r="D58" s="119" t="s">
        <v>838</v>
      </c>
      <c r="E58" s="119" t="s">
        <v>839</v>
      </c>
      <c r="F58" s="119"/>
      <c r="G58" s="119" t="s">
        <v>840</v>
      </c>
      <c r="H58" s="118" t="s">
        <v>841</v>
      </c>
      <c r="I58" s="118" t="s">
        <v>842</v>
      </c>
    </row>
    <row r="59" spans="1:9" ht="20.100000000000001" customHeight="1" x14ac:dyDescent="0.25">
      <c r="D59" s="109" t="str" cm="1">
        <f t="array" ref="D59:D92">Table_SourceData_WasteSolid_WasteTreatmentEFs[Treatment type t]</f>
        <v>Landfill</v>
      </c>
      <c r="E59" s="110" t="str" cm="1">
        <f t="array" ref="E59:E92">Table_SourceData_WasteSolid_WasteTreatmentEFs[Waste type w]</f>
        <v>Food waste (including animal carcasses, spoiled animal feed or crop)</v>
      </c>
      <c r="F59" s="172"/>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9" t="str">
        <v>Landfill</v>
      </c>
      <c r="E60" s="110" t="str">
        <v>Paper and cardboard</v>
      </c>
      <c r="F60" s="172"/>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9" t="str">
        <v>Landfill</v>
      </c>
      <c r="E61" s="110" t="str">
        <v>Green waste (including crop residues or prunings)</v>
      </c>
      <c r="F61" s="172"/>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9" t="str">
        <v>Landfill</v>
      </c>
      <c r="E62" s="110" t="str">
        <v>Wood</v>
      </c>
      <c r="F62" s="172"/>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9" t="str">
        <v>Landfill</v>
      </c>
      <c r="E63" s="110" t="str">
        <v>Textiles</v>
      </c>
      <c r="F63" s="172"/>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9" t="str">
        <v>Landfill</v>
      </c>
      <c r="E64" s="110" t="str">
        <v>Sludge</v>
      </c>
      <c r="F64" s="172"/>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9" t="str">
        <v>Landfill</v>
      </c>
      <c r="E65" s="110" t="str">
        <v>Rubber and leather</v>
      </c>
      <c r="F65" s="172"/>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9" t="str">
        <v>Landfill</v>
      </c>
      <c r="E66" s="110" t="str">
        <v>Inert waste (including concrete, metal, plastic or glass)</v>
      </c>
      <c r="F66" s="172"/>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9" t="str">
        <v>Landfill</v>
      </c>
      <c r="E67" s="110" t="str">
        <v>Municipal solid waste</v>
      </c>
      <c r="F67" s="172"/>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9" t="str">
        <v>Landfill</v>
      </c>
      <c r="E68" s="110" t="str">
        <v>Commercial and industrial waste</v>
      </c>
      <c r="F68" s="172"/>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9" t="str">
        <v>Landfill</v>
      </c>
      <c r="E69" s="110" t="str">
        <v>Construction and demolition waste</v>
      </c>
      <c r="F69" s="172"/>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9" t="str">
        <v>Incineration</v>
      </c>
      <c r="E70" s="110" t="str">
        <v>Food waste, green waste, wood, sludge</v>
      </c>
      <c r="F70" s="172"/>
      <c r="G70" s="25" t="s">
        <v>563</v>
      </c>
      <c r="H70" s="25" t="s">
        <v>563</v>
      </c>
      <c r="I70" s="25" t="s">
        <v>563</v>
      </c>
    </row>
    <row r="71" spans="4:9" ht="20.100000000000001" customHeight="1" x14ac:dyDescent="0.25">
      <c r="D71" s="109" t="str">
        <v>Incineration</v>
      </c>
      <c r="E71" s="110" t="str">
        <v>Food waste (including animal carcasses, spoiled animal feed or crop)</v>
      </c>
      <c r="F71" s="172"/>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9" t="str">
        <v>Incineration</v>
      </c>
      <c r="E72" s="110" t="str">
        <v>Green waste (including crop residues or prunings)</v>
      </c>
      <c r="F72" s="172"/>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9" t="str">
        <v>Incineration</v>
      </c>
      <c r="E73" s="110" t="str">
        <v>Wood</v>
      </c>
      <c r="F73" s="172"/>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9" t="str">
        <v>Incineration</v>
      </c>
      <c r="E74" s="110" t="str">
        <v>Sludge</v>
      </c>
      <c r="F74" s="172"/>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9" t="str">
        <v>Incineration</v>
      </c>
      <c r="E75" s="110" t="str">
        <v>Paper and cardboard</v>
      </c>
      <c r="F75" s="172"/>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9" t="str">
        <v>Incineration</v>
      </c>
      <c r="E76" s="110" t="str">
        <v>Textiles</v>
      </c>
      <c r="F76" s="172"/>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9" t="str">
        <v>Incineration</v>
      </c>
      <c r="E77" s="110" t="str">
        <v>Rubber and leather</v>
      </c>
      <c r="F77" s="172"/>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9" t="str">
        <v>Incineration</v>
      </c>
      <c r="E78" s="110" t="str">
        <v>Inert waste (including concrete, metal, plastic or glass)</v>
      </c>
      <c r="F78" s="172"/>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9" t="str">
        <v>Incineration</v>
      </c>
      <c r="E79" s="110" t="str">
        <v>Municipal solid waste</v>
      </c>
      <c r="F79" s="112"/>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9" t="str">
        <v>Incineration</v>
      </c>
      <c r="E80" s="110" t="str">
        <v>Commercial and industrial waste</v>
      </c>
      <c r="F80" s="112"/>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9" t="str">
        <v>Composting</v>
      </c>
      <c r="E81" s="110" t="str">
        <v>All organic waste</v>
      </c>
      <c r="F81" s="112"/>
      <c r="G81" s="25" t="s">
        <v>563</v>
      </c>
      <c r="H81" s="25" t="s">
        <v>563</v>
      </c>
      <c r="I81" s="25" t="s">
        <v>563</v>
      </c>
    </row>
    <row r="82" spans="3:12" ht="20.100000000000001" customHeight="1" x14ac:dyDescent="0.25">
      <c r="D82" s="109" t="str">
        <v>Composting</v>
      </c>
      <c r="E82" s="110" t="str">
        <v>Food waste (including animal carcasses, spoiled animal feed or crop)</v>
      </c>
      <c r="F82" s="112"/>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9" t="str">
        <v>Composting</v>
      </c>
      <c r="E83" s="110" t="str">
        <v>Green waste (including crop residues or prunings)</v>
      </c>
      <c r="F83" s="112"/>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9" t="str">
        <v>Composting</v>
      </c>
      <c r="E84" s="110" t="str">
        <v>Wood</v>
      </c>
      <c r="F84" s="112"/>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9" t="str">
        <v>Composting</v>
      </c>
      <c r="E85" s="110" t="str">
        <v>Sludge</v>
      </c>
      <c r="F85" s="112"/>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9" t="str">
        <v>Composting</v>
      </c>
      <c r="E86" s="110" t="str">
        <v>Paper and cardboard</v>
      </c>
      <c r="F86" s="112"/>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9" t="str">
        <v>Anaerobic digestion</v>
      </c>
      <c r="E87" s="110" t="str">
        <v>All organic waste</v>
      </c>
      <c r="F87" s="112"/>
      <c r="G87" s="25" t="s">
        <v>563</v>
      </c>
      <c r="H87" s="25" t="s">
        <v>563</v>
      </c>
      <c r="I87" s="25" t="s">
        <v>563</v>
      </c>
    </row>
    <row r="88" spans="3:12" ht="20.100000000000001" customHeight="1" x14ac:dyDescent="0.25">
      <c r="D88" s="109" t="str">
        <v>Anaerobic digestion</v>
      </c>
      <c r="E88" s="110" t="str">
        <v>Food waste (including animal carcasses, spoiled animal feed or crop)</v>
      </c>
      <c r="F88" s="112"/>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9" t="str">
        <v>Anaerobic digestion</v>
      </c>
      <c r="E89" s="110" t="str">
        <v>Green waste (including crop residues or prunings)</v>
      </c>
      <c r="F89" s="112"/>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9" t="str">
        <v>Anaerobic digestion</v>
      </c>
      <c r="E90" s="110" t="str">
        <v>Wood</v>
      </c>
      <c r="F90" s="112"/>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9" t="str">
        <v>Anaerobic digestion</v>
      </c>
      <c r="E91" s="110" t="str">
        <v>Sludge</v>
      </c>
      <c r="F91" s="112"/>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9" t="str">
        <v>Anaerobic digestion</v>
      </c>
      <c r="E92" s="110" t="str">
        <v>Paper and cardboard</v>
      </c>
      <c r="F92" s="112"/>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20"/>
      <c r="D95" s="120"/>
      <c r="E95" s="120"/>
      <c r="F95" s="120"/>
      <c r="G95" s="120"/>
      <c r="H95" s="120"/>
      <c r="I95" s="120"/>
      <c r="J95" s="120"/>
      <c r="K95" s="120"/>
      <c r="L95" s="12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7" t="s">
        <v>258</v>
      </c>
      <c r="E99" s="107"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260</v>
      </c>
      <c r="E102" s="1" t="str" cm="1">
        <f t="array" ref="E102">WasteSolid_Equations.VEERG_10_1_1_1__1_EmissionsFromWasteManagement_Variable()</f>
        <v>E_g</v>
      </c>
    </row>
    <row r="103" spans="4:9" ht="20.100000000000001" customHeight="1" x14ac:dyDescent="0.25">
      <c r="D103" s="88" t="s">
        <v>132</v>
      </c>
      <c r="E103" s="15" t="str" cm="1">
        <f t="array" ref="E103">WasteSolid_Equations.VEERG_10_1_1_1__1_EmissionsFromWasteManagement_Unit()</f>
        <v>t CO2e</v>
      </c>
    </row>
    <row r="104" spans="4:9" ht="20.100000000000001" customHeight="1" x14ac:dyDescent="0.25"/>
    <row r="105" spans="4:9" ht="20.100000000000001" customHeight="1" x14ac:dyDescent="0.25">
      <c r="D105" s="109" t="str" cm="1">
        <f t="array" ref="D105:E111">_xlfn.CHOOSECOLS(WasteSolid_Equations.VEERG_10_1_1_1__1_EmissionsFromWasteManagement_Arguments(),1,2)</f>
        <v>Q_wt</v>
      </c>
      <c r="E105" s="110" t="str">
        <v>quantity of solid waste of type w being sent to treatment facility t, on a wet weight basis</v>
      </c>
      <c r="F105" s="111"/>
      <c r="G105" s="112"/>
      <c r="H105" s="109" t="str" cm="1">
        <f t="array" ref="H105:I111">_xlfn.CHOOSECOLS(WasteSolid_Equations.VEERG_10_1_1_1__1_EmissionsFromWasteManagement_Arguments(),3,4)</f>
        <v>t</v>
      </c>
      <c r="I105" s="114" t="str">
        <v>Sum of Q_volwt and Q_masswt</v>
      </c>
    </row>
    <row r="106" spans="4:9" ht="20.100000000000001" customHeight="1" x14ac:dyDescent="0.25">
      <c r="D106" s="109" t="str">
        <v>EF_wtg</v>
      </c>
      <c r="E106" s="110" t="str">
        <v>emission factor for greenhouse gas g for the management of waste at treatment facility t</v>
      </c>
      <c r="F106" s="111"/>
      <c r="G106" s="112"/>
      <c r="H106" s="109" t="str">
        <v>t CO2e/t</v>
      </c>
      <c r="I106" s="114" t="str">
        <v>Constant</v>
      </c>
    </row>
    <row r="107" spans="4:9" ht="20.100000000000001" customHeight="1" x14ac:dyDescent="0.25">
      <c r="D107" s="109" t="str">
        <v>w</v>
      </c>
      <c r="E107" s="110" t="str">
        <v>waste type</v>
      </c>
      <c r="F107" s="111"/>
      <c r="G107" s="112"/>
      <c r="H107" s="109" t="str">
        <v/>
      </c>
      <c r="I107" s="113" t="str">
        <v>Input</v>
      </c>
    </row>
    <row r="108" spans="4:9" ht="20.100000000000001" customHeight="1" x14ac:dyDescent="0.25">
      <c r="D108" s="109" t="str">
        <v>t</v>
      </c>
      <c r="E108" s="110" t="str">
        <v>treatment facility</v>
      </c>
      <c r="F108" s="111"/>
      <c r="G108" s="112"/>
      <c r="H108" s="109" t="str">
        <v/>
      </c>
      <c r="I108" s="113" t="str">
        <v>Input</v>
      </c>
    </row>
    <row r="109" spans="4:9" ht="20.100000000000001" customHeight="1" x14ac:dyDescent="0.25">
      <c r="D109" s="109" t="str">
        <v>g</v>
      </c>
      <c r="E109" s="110" t="str">
        <v>greenhouse gas</v>
      </c>
      <c r="F109" s="111"/>
      <c r="G109" s="112"/>
      <c r="H109" s="109" t="str">
        <v/>
      </c>
      <c r="I109" s="113" t="str">
        <v>Input</v>
      </c>
    </row>
    <row r="110" spans="4:9" ht="20.100000000000001" customHeight="1" x14ac:dyDescent="0.25">
      <c r="D110" s="109" t="str">
        <v>Q_volwt</v>
      </c>
      <c r="E110" s="110" t="str">
        <v>quantity of sold waste input as volume and converted to tonnes</v>
      </c>
      <c r="F110" s="111"/>
      <c r="G110" s="112"/>
      <c r="H110" s="109" t="str">
        <v>tonnes</v>
      </c>
      <c r="I110" s="114" t="str">
        <v>Calculated from 10.1.1.1 (2)</v>
      </c>
    </row>
    <row r="111" spans="4:9" ht="20.100000000000001" customHeight="1" x14ac:dyDescent="0.25">
      <c r="D111" s="109" t="str">
        <v>Q_masswt</v>
      </c>
      <c r="E111" s="110" t="str">
        <v>quantity of solid waste input as mass</v>
      </c>
      <c r="F111" s="111"/>
      <c r="G111" s="112"/>
      <c r="H111" s="109" t="str">
        <v>tonnes</v>
      </c>
      <c r="I111" s="113" t="str">
        <v>Input</v>
      </c>
    </row>
    <row r="112" spans="4:9" ht="20.100000000000001" customHeight="1" x14ac:dyDescent="0.25"/>
    <row r="113" spans="4:11" ht="20.100000000000001" customHeight="1" x14ac:dyDescent="0.25">
      <c r="D113" s="116" t="s">
        <v>845</v>
      </c>
    </row>
    <row r="114" spans="4:11" ht="20.100000000000001" customHeight="1" x14ac:dyDescent="0.25">
      <c r="D114" s="117" t="s">
        <v>846</v>
      </c>
    </row>
    <row r="115" spans="4:11" ht="20.100000000000001" customHeight="1" x14ac:dyDescent="0.25">
      <c r="D115" s="119" t="s">
        <v>838</v>
      </c>
      <c r="E115" s="119" t="s">
        <v>839</v>
      </c>
      <c r="F115" s="119"/>
      <c r="G115" s="119" t="s">
        <v>847</v>
      </c>
      <c r="H115" s="118" t="s">
        <v>848</v>
      </c>
      <c r="I115" s="118" t="s">
        <v>842</v>
      </c>
      <c r="J115" s="118" t="s">
        <v>849</v>
      </c>
      <c r="K115" s="118" t="s">
        <v>850</v>
      </c>
    </row>
    <row r="116" spans="4:11" ht="20.100000000000001" customHeight="1" x14ac:dyDescent="0.25">
      <c r="D116" s="109" t="str" cm="1">
        <f t="array" ref="D116:D149">Table_SourceData_WasteSolid_WasteTreatmentEFs[Treatment type t]</f>
        <v>Landfill</v>
      </c>
      <c r="E116" s="110" t="str" cm="1">
        <f t="array" ref="E116:E149">Table_SourceData_WasteSolid_WasteTreatmentEFs[Waste type w]</f>
        <v>Food waste (including animal carcasses, spoiled animal feed or crop)</v>
      </c>
      <c r="F116" s="172"/>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9" t="str">
        <v>Landfill</v>
      </c>
      <c r="E117" s="110" t="str">
        <v>Paper and cardboard</v>
      </c>
      <c r="F117" s="172"/>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9" t="str">
        <v>Landfill</v>
      </c>
      <c r="E118" s="110" t="str">
        <v>Green waste (including crop residues or prunings)</v>
      </c>
      <c r="F118" s="172"/>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9" t="str">
        <v>Landfill</v>
      </c>
      <c r="E119" s="110" t="str">
        <v>Wood</v>
      </c>
      <c r="F119" s="172"/>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9" t="str">
        <v>Landfill</v>
      </c>
      <c r="E120" s="110" t="str">
        <v>Textiles</v>
      </c>
      <c r="F120" s="172"/>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9" t="str">
        <v>Landfill</v>
      </c>
      <c r="E121" s="110" t="str">
        <v>Sludge</v>
      </c>
      <c r="F121" s="172"/>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9" t="str">
        <v>Landfill</v>
      </c>
      <c r="E122" s="110" t="str">
        <v>Rubber and leather</v>
      </c>
      <c r="F122" s="172"/>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9" t="str">
        <v>Landfill</v>
      </c>
      <c r="E123" s="110" t="str">
        <v>Inert waste (including concrete, metal, plastic or glass)</v>
      </c>
      <c r="F123" s="172"/>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9" t="str">
        <v>Landfill</v>
      </c>
      <c r="E124" s="110" t="str">
        <v>Municipal solid waste</v>
      </c>
      <c r="F124" s="172"/>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9" t="str">
        <v>Landfill</v>
      </c>
      <c r="E125" s="110" t="str">
        <v>Commercial and industrial waste</v>
      </c>
      <c r="F125" s="172"/>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9" t="str">
        <v>Landfill</v>
      </c>
      <c r="E126" s="110" t="str">
        <v>Construction and demolition waste</v>
      </c>
      <c r="F126" s="172"/>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9" t="str">
        <v>Incineration</v>
      </c>
      <c r="E127" s="110" t="str">
        <v>Food waste, green waste, wood, sludge</v>
      </c>
      <c r="F127" s="172"/>
      <c r="G127" s="25" t="s">
        <v>563</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9" t="str">
        <v>Incineration</v>
      </c>
      <c r="E128" s="110" t="str">
        <v>Food waste (including animal carcasses, spoiled animal feed or crop)</v>
      </c>
      <c r="F128" s="172"/>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851</v>
      </c>
      <c r="J128" s="25" t="s">
        <v>563</v>
      </c>
      <c r="K128" s="25" t="s">
        <v>563</v>
      </c>
    </row>
    <row r="129" spans="4:11" ht="20.100000000000001" customHeight="1" x14ac:dyDescent="0.25">
      <c r="D129" s="109" t="str">
        <v>Incineration</v>
      </c>
      <c r="E129" s="110" t="str">
        <v>Green waste (including crop residues or prunings)</v>
      </c>
      <c r="F129" s="172"/>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851</v>
      </c>
      <c r="J129" s="25" t="s">
        <v>563</v>
      </c>
      <c r="K129" s="25" t="s">
        <v>563</v>
      </c>
    </row>
    <row r="130" spans="4:11" ht="20.100000000000001" customHeight="1" x14ac:dyDescent="0.25">
      <c r="D130" s="109" t="str">
        <v>Incineration</v>
      </c>
      <c r="E130" s="110" t="str">
        <v>Wood</v>
      </c>
      <c r="F130" s="172"/>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851</v>
      </c>
      <c r="J130" s="25" t="s">
        <v>563</v>
      </c>
      <c r="K130" s="25" t="s">
        <v>563</v>
      </c>
    </row>
    <row r="131" spans="4:11" ht="20.100000000000001" customHeight="1" x14ac:dyDescent="0.25">
      <c r="D131" s="109" t="str">
        <v>Incineration</v>
      </c>
      <c r="E131" s="110" t="str">
        <v>Sludge</v>
      </c>
      <c r="F131" s="172"/>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851</v>
      </c>
      <c r="J131" s="25" t="s">
        <v>563</v>
      </c>
      <c r="K131" s="25" t="s">
        <v>563</v>
      </c>
    </row>
    <row r="132" spans="4:11" ht="20.100000000000001" customHeight="1" x14ac:dyDescent="0.25">
      <c r="D132" s="109" t="str">
        <v>Incineration</v>
      </c>
      <c r="E132" s="110" t="str">
        <v>Paper and cardboard</v>
      </c>
      <c r="F132" s="172"/>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9" t="str">
        <v>Incineration</v>
      </c>
      <c r="E133" s="110" t="str">
        <v>Textiles</v>
      </c>
      <c r="F133" s="172"/>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9" t="str">
        <v>Incineration</v>
      </c>
      <c r="E134" s="110" t="str">
        <v>Rubber and leather</v>
      </c>
      <c r="F134" s="172"/>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9" t="str">
        <v>Incineration</v>
      </c>
      <c r="E135" s="110" t="str">
        <v>Inert waste (including concrete, metal, plastic or glass)</v>
      </c>
      <c r="F135" s="172"/>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9" t="str">
        <v>Incineration</v>
      </c>
      <c r="E136" s="110" t="str">
        <v>Municipal solid waste</v>
      </c>
      <c r="F136" s="112"/>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9" t="str">
        <v>Incineration</v>
      </c>
      <c r="E137" s="110" t="str">
        <v>Commercial and industrial waste</v>
      </c>
      <c r="F137" s="112"/>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9" t="str">
        <v>Composting</v>
      </c>
      <c r="E138" s="110" t="str">
        <v>All organic waste</v>
      </c>
      <c r="F138" s="112"/>
      <c r="G138" s="25" t="s">
        <v>563</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9" t="str">
        <v>Composting</v>
      </c>
      <c r="E139" s="110" t="str">
        <v>Food waste (including animal carcasses, spoiled animal feed or crop)</v>
      </c>
      <c r="F139" s="112"/>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851</v>
      </c>
      <c r="J139" s="25" t="s">
        <v>563</v>
      </c>
      <c r="K139" s="25" t="s">
        <v>563</v>
      </c>
    </row>
    <row r="140" spans="4:11" ht="20.100000000000001" customHeight="1" x14ac:dyDescent="0.25">
      <c r="D140" s="109" t="str">
        <v>Composting</v>
      </c>
      <c r="E140" s="110" t="str">
        <v>Green waste (including crop residues or prunings)</v>
      </c>
      <c r="F140" s="112"/>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851</v>
      </c>
      <c r="J140" s="25" t="s">
        <v>563</v>
      </c>
      <c r="K140" s="25" t="s">
        <v>563</v>
      </c>
    </row>
    <row r="141" spans="4:11" ht="20.100000000000001" customHeight="1" x14ac:dyDescent="0.25">
      <c r="D141" s="109" t="str">
        <v>Composting</v>
      </c>
      <c r="E141" s="110" t="str">
        <v>Wood</v>
      </c>
      <c r="F141" s="112"/>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851</v>
      </c>
      <c r="J141" s="25" t="s">
        <v>563</v>
      </c>
      <c r="K141" s="25" t="s">
        <v>563</v>
      </c>
    </row>
    <row r="142" spans="4:11" ht="20.100000000000001" customHeight="1" x14ac:dyDescent="0.25">
      <c r="D142" s="109" t="str">
        <v>Composting</v>
      </c>
      <c r="E142" s="110" t="str">
        <v>Sludge</v>
      </c>
      <c r="F142" s="112"/>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851</v>
      </c>
      <c r="J142" s="25" t="s">
        <v>563</v>
      </c>
      <c r="K142" s="25" t="s">
        <v>563</v>
      </c>
    </row>
    <row r="143" spans="4:11" ht="20.100000000000001" customHeight="1" x14ac:dyDescent="0.25">
      <c r="D143" s="109" t="str">
        <v>Composting</v>
      </c>
      <c r="E143" s="110" t="str">
        <v>Paper and cardboard</v>
      </c>
      <c r="F143" s="112"/>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851</v>
      </c>
      <c r="J143" s="25" t="s">
        <v>563</v>
      </c>
      <c r="K143" s="25" t="s">
        <v>563</v>
      </c>
    </row>
    <row r="144" spans="4:11" ht="20.100000000000001" customHeight="1" x14ac:dyDescent="0.25">
      <c r="D144" s="109" t="str">
        <v>Anaerobic digestion</v>
      </c>
      <c r="E144" s="110" t="str">
        <v>All organic waste</v>
      </c>
      <c r="F144" s="112"/>
      <c r="G144" s="25" t="s">
        <v>563</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9" t="str">
        <v>Anaerobic digestion</v>
      </c>
      <c r="E145" s="110" t="str">
        <v>Food waste (including animal carcasses, spoiled animal feed or crop)</v>
      </c>
      <c r="F145" s="112"/>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851</v>
      </c>
      <c r="J145" s="25" t="s">
        <v>563</v>
      </c>
      <c r="K145" s="25" t="s">
        <v>563</v>
      </c>
    </row>
    <row r="146" spans="4:11" ht="20.100000000000001" customHeight="1" x14ac:dyDescent="0.25">
      <c r="D146" s="109" t="str">
        <v>Anaerobic digestion</v>
      </c>
      <c r="E146" s="110" t="str">
        <v>Green waste (including crop residues or prunings)</v>
      </c>
      <c r="F146" s="112"/>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851</v>
      </c>
      <c r="J146" s="25" t="s">
        <v>563</v>
      </c>
      <c r="K146" s="25" t="s">
        <v>563</v>
      </c>
    </row>
    <row r="147" spans="4:11" ht="20.100000000000001" customHeight="1" x14ac:dyDescent="0.25">
      <c r="D147" s="109" t="str">
        <v>Anaerobic digestion</v>
      </c>
      <c r="E147" s="110" t="str">
        <v>Wood</v>
      </c>
      <c r="F147" s="112"/>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851</v>
      </c>
      <c r="J147" s="25" t="s">
        <v>563</v>
      </c>
      <c r="K147" s="25" t="s">
        <v>563</v>
      </c>
    </row>
    <row r="148" spans="4:11" ht="20.100000000000001" customHeight="1" x14ac:dyDescent="0.25">
      <c r="D148" s="109" t="str">
        <v>Anaerobic digestion</v>
      </c>
      <c r="E148" s="110" t="str">
        <v>Sludge</v>
      </c>
      <c r="F148" s="112"/>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851</v>
      </c>
      <c r="J148" s="25" t="s">
        <v>563</v>
      </c>
      <c r="K148" s="25" t="s">
        <v>563</v>
      </c>
    </row>
    <row r="149" spans="4:11" ht="20.100000000000001" customHeight="1" x14ac:dyDescent="0.25">
      <c r="D149" s="109" t="str">
        <v>Anaerobic digestion</v>
      </c>
      <c r="E149" s="110" t="str">
        <v>Paper and cardboard</v>
      </c>
      <c r="F149" s="112"/>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851</v>
      </c>
      <c r="J149" s="25" t="s">
        <v>563</v>
      </c>
      <c r="K149" s="25" t="s">
        <v>563</v>
      </c>
    </row>
    <row r="150" spans="4:11" ht="20.100000000000001" customHeight="1" x14ac:dyDescent="0.25"/>
    <row r="151" spans="4:11" ht="20.100000000000001" customHeight="1" x14ac:dyDescent="0.25">
      <c r="D151" s="121" t="s">
        <v>852</v>
      </c>
      <c r="E151" s="122">
        <f>SUM(K116:K149)</f>
        <v>438.82805000000002</v>
      </c>
      <c r="F151" s="123" t="str">
        <f>$E$103</f>
        <v>t CO2e</v>
      </c>
    </row>
    <row r="152" spans="4:11" ht="20.100000000000001" customHeight="1" x14ac:dyDescent="0.25"/>
    <row r="153" spans="4:11" ht="20.100000000000001" customHeight="1" x14ac:dyDescent="0.25"/>
    <row r="154" spans="4:11" ht="20.100000000000001" customHeight="1" x14ac:dyDescent="0.25">
      <c r="D154" s="116" t="s">
        <v>853</v>
      </c>
    </row>
    <row r="155" spans="4:11" ht="20.100000000000001" customHeight="1" x14ac:dyDescent="0.25">
      <c r="D155" s="117" t="s">
        <v>854</v>
      </c>
    </row>
    <row r="156" spans="4:11" ht="20.100000000000001" customHeight="1" x14ac:dyDescent="0.25">
      <c r="D156" s="119" t="s">
        <v>838</v>
      </c>
      <c r="E156" s="119" t="s">
        <v>839</v>
      </c>
      <c r="F156" s="119"/>
      <c r="G156" s="119" t="s">
        <v>847</v>
      </c>
      <c r="H156" s="118" t="s">
        <v>848</v>
      </c>
      <c r="I156" s="118" t="s">
        <v>842</v>
      </c>
      <c r="J156" s="118" t="s">
        <v>849</v>
      </c>
      <c r="K156" s="118" t="s">
        <v>850</v>
      </c>
    </row>
    <row r="157" spans="4:11" ht="20.100000000000001" customHeight="1" x14ac:dyDescent="0.25">
      <c r="D157" s="109" t="str" cm="1">
        <f t="array" ref="D157:D190">Table_SourceData_WasteSolid_WasteTreatmentEFs[Treatment type t]</f>
        <v>Landfill</v>
      </c>
      <c r="E157" s="110" t="str" cm="1">
        <f t="array" ref="E157:E190">Table_SourceData_WasteSolid_WasteTreatmentEFs[Waste type w]</f>
        <v>Food waste (including animal carcasses, spoiled animal feed or crop)</v>
      </c>
      <c r="F157" s="172"/>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9" t="str">
        <v>Landfill</v>
      </c>
      <c r="E158" s="110" t="str">
        <v>Paper and cardboard</v>
      </c>
      <c r="F158" s="172"/>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9" t="str">
        <v>Landfill</v>
      </c>
      <c r="E159" s="110" t="str">
        <v>Green waste (including crop residues or prunings)</v>
      </c>
      <c r="F159" s="172"/>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9" t="str">
        <v>Landfill</v>
      </c>
      <c r="E160" s="110" t="str">
        <v>Wood</v>
      </c>
      <c r="F160" s="172"/>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9" t="str">
        <v>Landfill</v>
      </c>
      <c r="E161" s="110" t="str">
        <v>Textiles</v>
      </c>
      <c r="F161" s="172"/>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9" t="str">
        <v>Landfill</v>
      </c>
      <c r="E162" s="110" t="str">
        <v>Sludge</v>
      </c>
      <c r="F162" s="172"/>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9" t="str">
        <v>Landfill</v>
      </c>
      <c r="E163" s="110" t="str">
        <v>Rubber and leather</v>
      </c>
      <c r="F163" s="172"/>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9" t="str">
        <v>Landfill</v>
      </c>
      <c r="E164" s="110" t="str">
        <v>Inert waste (including concrete, metal, plastic or glass)</v>
      </c>
      <c r="F164" s="172"/>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9" t="str">
        <v>Landfill</v>
      </c>
      <c r="E165" s="110" t="str">
        <v>Municipal solid waste</v>
      </c>
      <c r="F165" s="172"/>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9" t="str">
        <v>Landfill</v>
      </c>
      <c r="E166" s="110" t="str">
        <v>Commercial and industrial waste</v>
      </c>
      <c r="F166" s="172"/>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9" t="str">
        <v>Landfill</v>
      </c>
      <c r="E167" s="110" t="str">
        <v>Construction and demolition waste</v>
      </c>
      <c r="F167" s="172"/>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9" t="str">
        <v>Incineration</v>
      </c>
      <c r="E168" s="110" t="str">
        <v>Food waste, green waste, wood, sludge</v>
      </c>
      <c r="F168" s="172"/>
      <c r="G168" s="25" t="s">
        <v>563</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9" t="str">
        <v>Incineration</v>
      </c>
      <c r="E169" s="110" t="str">
        <v>Food waste (including animal carcasses, spoiled animal feed or crop)</v>
      </c>
      <c r="F169" s="172"/>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851</v>
      </c>
      <c r="J169" s="25" t="s">
        <v>563</v>
      </c>
      <c r="K169" s="25" t="s">
        <v>563</v>
      </c>
    </row>
    <row r="170" spans="4:11" ht="20.100000000000001" customHeight="1" x14ac:dyDescent="0.25">
      <c r="D170" s="109" t="str">
        <v>Incineration</v>
      </c>
      <c r="E170" s="110" t="str">
        <v>Green waste (including crop residues or prunings)</v>
      </c>
      <c r="F170" s="172"/>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851</v>
      </c>
      <c r="J170" s="25" t="s">
        <v>563</v>
      </c>
      <c r="K170" s="25" t="s">
        <v>563</v>
      </c>
    </row>
    <row r="171" spans="4:11" ht="20.100000000000001" customHeight="1" x14ac:dyDescent="0.25">
      <c r="D171" s="109" t="str">
        <v>Incineration</v>
      </c>
      <c r="E171" s="110" t="str">
        <v>Wood</v>
      </c>
      <c r="F171" s="172"/>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851</v>
      </c>
      <c r="J171" s="25" t="s">
        <v>563</v>
      </c>
      <c r="K171" s="25" t="s">
        <v>563</v>
      </c>
    </row>
    <row r="172" spans="4:11" ht="20.100000000000001" customHeight="1" x14ac:dyDescent="0.25">
      <c r="D172" s="109" t="str">
        <v>Incineration</v>
      </c>
      <c r="E172" s="110" t="str">
        <v>Sludge</v>
      </c>
      <c r="F172" s="172"/>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851</v>
      </c>
      <c r="J172" s="25" t="s">
        <v>563</v>
      </c>
      <c r="K172" s="25" t="s">
        <v>563</v>
      </c>
    </row>
    <row r="173" spans="4:11" ht="20.100000000000001" customHeight="1" x14ac:dyDescent="0.25">
      <c r="D173" s="109" t="str">
        <v>Incineration</v>
      </c>
      <c r="E173" s="110" t="str">
        <v>Paper and cardboard</v>
      </c>
      <c r="F173" s="172"/>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9" t="str">
        <v>Incineration</v>
      </c>
      <c r="E174" s="110" t="str">
        <v>Textiles</v>
      </c>
      <c r="F174" s="172"/>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9" t="str">
        <v>Incineration</v>
      </c>
      <c r="E175" s="110" t="str">
        <v>Rubber and leather</v>
      </c>
      <c r="F175" s="172"/>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9" t="str">
        <v>Incineration</v>
      </c>
      <c r="E176" s="110" t="str">
        <v>Inert waste (including concrete, metal, plastic or glass)</v>
      </c>
      <c r="F176" s="172"/>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9" t="str">
        <v>Incineration</v>
      </c>
      <c r="E177" s="110" t="str">
        <v>Municipal solid waste</v>
      </c>
      <c r="F177" s="112"/>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9" t="str">
        <v>Incineration</v>
      </c>
      <c r="E178" s="110" t="str">
        <v>Commercial and industrial waste</v>
      </c>
      <c r="F178" s="112"/>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9" t="str">
        <v>Composting</v>
      </c>
      <c r="E179" s="110" t="str">
        <v>All organic waste</v>
      </c>
      <c r="F179" s="112"/>
      <c r="G179" s="25" t="s">
        <v>563</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9" t="str">
        <v>Composting</v>
      </c>
      <c r="E180" s="110" t="str">
        <v>Food waste (including animal carcasses, spoiled animal feed or crop)</v>
      </c>
      <c r="F180" s="112"/>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851</v>
      </c>
      <c r="J180" s="25" t="s">
        <v>563</v>
      </c>
      <c r="K180" s="25" t="s">
        <v>563</v>
      </c>
    </row>
    <row r="181" spans="4:11" ht="20.100000000000001" customHeight="1" x14ac:dyDescent="0.25">
      <c r="D181" s="109" t="str">
        <v>Composting</v>
      </c>
      <c r="E181" s="110" t="str">
        <v>Green waste (including crop residues or prunings)</v>
      </c>
      <c r="F181" s="112"/>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851</v>
      </c>
      <c r="J181" s="25" t="s">
        <v>563</v>
      </c>
      <c r="K181" s="25" t="s">
        <v>563</v>
      </c>
    </row>
    <row r="182" spans="4:11" ht="20.100000000000001" customHeight="1" x14ac:dyDescent="0.25">
      <c r="D182" s="109" t="str">
        <v>Composting</v>
      </c>
      <c r="E182" s="110" t="str">
        <v>Wood</v>
      </c>
      <c r="F182" s="112"/>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851</v>
      </c>
      <c r="J182" s="25" t="s">
        <v>563</v>
      </c>
      <c r="K182" s="25" t="s">
        <v>563</v>
      </c>
    </row>
    <row r="183" spans="4:11" ht="20.100000000000001" customHeight="1" x14ac:dyDescent="0.25">
      <c r="D183" s="109" t="str">
        <v>Composting</v>
      </c>
      <c r="E183" s="110" t="str">
        <v>Sludge</v>
      </c>
      <c r="F183" s="112"/>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851</v>
      </c>
      <c r="J183" s="25" t="s">
        <v>563</v>
      </c>
      <c r="K183" s="25" t="s">
        <v>563</v>
      </c>
    </row>
    <row r="184" spans="4:11" ht="20.100000000000001" customHeight="1" x14ac:dyDescent="0.25">
      <c r="D184" s="109" t="str">
        <v>Composting</v>
      </c>
      <c r="E184" s="110" t="str">
        <v>Paper and cardboard</v>
      </c>
      <c r="F184" s="112"/>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851</v>
      </c>
      <c r="J184" s="25" t="s">
        <v>563</v>
      </c>
      <c r="K184" s="25" t="s">
        <v>563</v>
      </c>
    </row>
    <row r="185" spans="4:11" ht="20.100000000000001" customHeight="1" x14ac:dyDescent="0.25">
      <c r="D185" s="109" t="str">
        <v>Anaerobic digestion</v>
      </c>
      <c r="E185" s="110" t="str">
        <v>All organic waste</v>
      </c>
      <c r="F185" s="112"/>
      <c r="G185" s="25" t="s">
        <v>563</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9" t="str">
        <v>Anaerobic digestion</v>
      </c>
      <c r="E186" s="110" t="str">
        <v>Food waste (including animal carcasses, spoiled animal feed or crop)</v>
      </c>
      <c r="F186" s="112"/>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851</v>
      </c>
      <c r="J186" s="25" t="s">
        <v>563</v>
      </c>
      <c r="K186" s="25" t="s">
        <v>563</v>
      </c>
    </row>
    <row r="187" spans="4:11" ht="20.100000000000001" customHeight="1" x14ac:dyDescent="0.25">
      <c r="D187" s="109" t="str">
        <v>Anaerobic digestion</v>
      </c>
      <c r="E187" s="110" t="str">
        <v>Green waste (including crop residues or prunings)</v>
      </c>
      <c r="F187" s="112"/>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851</v>
      </c>
      <c r="J187" s="25" t="s">
        <v>563</v>
      </c>
      <c r="K187" s="25" t="s">
        <v>563</v>
      </c>
    </row>
    <row r="188" spans="4:11" ht="20.100000000000001" customHeight="1" x14ac:dyDescent="0.25">
      <c r="D188" s="109" t="str">
        <v>Anaerobic digestion</v>
      </c>
      <c r="E188" s="110" t="str">
        <v>Wood</v>
      </c>
      <c r="F188" s="112"/>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851</v>
      </c>
      <c r="J188" s="25" t="s">
        <v>563</v>
      </c>
      <c r="K188" s="25" t="s">
        <v>563</v>
      </c>
    </row>
    <row r="189" spans="4:11" ht="20.100000000000001" customHeight="1" x14ac:dyDescent="0.25">
      <c r="D189" s="109" t="str">
        <v>Anaerobic digestion</v>
      </c>
      <c r="E189" s="110" t="str">
        <v>Sludge</v>
      </c>
      <c r="F189" s="112"/>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851</v>
      </c>
      <c r="J189" s="25" t="s">
        <v>563</v>
      </c>
      <c r="K189" s="25" t="s">
        <v>563</v>
      </c>
    </row>
    <row r="190" spans="4:11" ht="20.100000000000001" customHeight="1" x14ac:dyDescent="0.25">
      <c r="D190" s="109" t="str">
        <v>Anaerobic digestion</v>
      </c>
      <c r="E190" s="110" t="str">
        <v>Paper and cardboard</v>
      </c>
      <c r="F190" s="112"/>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851</v>
      </c>
      <c r="J190" s="25" t="s">
        <v>563</v>
      </c>
      <c r="K190" s="25" t="s">
        <v>563</v>
      </c>
    </row>
    <row r="191" spans="4:11" ht="20.100000000000001" customHeight="1" x14ac:dyDescent="0.25"/>
    <row r="192" spans="4:11" ht="20.100000000000001" customHeight="1" x14ac:dyDescent="0.25">
      <c r="D192" s="121" t="s">
        <v>852</v>
      </c>
      <c r="E192" s="122">
        <f>SUM(K157:K190)</f>
        <v>441.15000000000003</v>
      </c>
      <c r="F192" s="123"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BF4BF526-D4F0-4A8D-A87B-46A4AEC813DB}"/>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BEC84-2FCC-41FF-8653-A0D97323DB8F}">
  <sheetPr>
    <tabColor theme="2" tint="-0.499984740745262"/>
  </sheetPr>
  <dimension ref="A1:AI165"/>
  <sheetViews>
    <sheetView showGridLines="0" topLeftCell="A29"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Pasture'!A1", "Pasture")</f>
        <v>Pasture</v>
      </c>
      <c r="D13" s="36" t="str">
        <v>Added sub-categories for 'Anaerobic digestion: All organic waste' in order to use volume to mass conversion factor values</v>
      </c>
    </row>
    <row r="14" spans="1:35" ht="20.100000000000001" customHeight="1" x14ac:dyDescent="0.25">
      <c r="A14" s="5" t="str">
        <f>HYPERLINK("#'Input - Fertiliser'!A1", "Fertiliser")</f>
        <v>Fertiliser</v>
      </c>
      <c r="D14" s="1" t="str" cm="1">
        <f t="array" ref="D14">WasteSolid_SourceData.Waste_EmissionFactorsForWasteTreatment_Variable()</f>
        <v>EFwt</v>
      </c>
    </row>
    <row r="15" spans="1:35" ht="20.100000000000001" customHeight="1" x14ac:dyDescent="0.25">
      <c r="A15" s="5" t="str">
        <f>HYPERLINK("#'Input - Fuel'!A1", "Fuel")</f>
        <v>Fuel</v>
      </c>
      <c r="D15" s="15" t="str" cm="1">
        <f t="array" ref="D15">WasteSolid_SourceData.Waste_EmissionFactorsForWasteTreatment_Unit()</f>
        <v>t CO2e / t</v>
      </c>
      <c r="I15" s="1" t="s">
        <v>856</v>
      </c>
      <c r="K15" s="1" t="s">
        <v>857</v>
      </c>
      <c r="M15" s="1" t="s">
        <v>858</v>
      </c>
      <c r="O15" s="1" t="s">
        <v>859</v>
      </c>
    </row>
    <row r="16" spans="1:35" ht="20.100000000000001" customHeight="1" x14ac:dyDescent="0.25">
      <c r="A16" s="5" t="str">
        <f>HYPERLINK("#'Input - Electricity'!A1", "Electricity")</f>
        <v>Electricity</v>
      </c>
      <c r="D16" s="30" t="s">
        <v>860</v>
      </c>
      <c r="E16" s="30" t="s">
        <v>861</v>
      </c>
      <c r="F16" s="30" t="s">
        <v>862</v>
      </c>
      <c r="G16" s="30" t="s">
        <v>863</v>
      </c>
      <c r="I16" s="30" t="s">
        <v>861</v>
      </c>
      <c r="K16" s="240" t="s">
        <v>861</v>
      </c>
      <c r="M16" s="240" t="s">
        <v>861</v>
      </c>
      <c r="O16" s="240" t="s">
        <v>861</v>
      </c>
    </row>
    <row r="17" spans="1:15" ht="20.100000000000001" customHeight="1" x14ac:dyDescent="0.25">
      <c r="A17" s="5" t="str">
        <f>HYPERLINK("#'Input - Farm Inputs'!A1", "Farm Inputs")</f>
        <v>Farm Inputs</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Manure sent off-site'!A1", "Manure sent off-site")</f>
        <v>Manure sent off-site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Solid waste'!A1", "Solid waste")</f>
        <v>Solid waste</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6" t="s">
        <v>2</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HYPERLINK("#'3.2.1.1-2 Enteric Methane'!A1", "3.2.1.1-2 Enteric methane")</f>
        <v>3.2.1.1-2 Enteric methane</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HYPERLINK("#'4.2.1.1-2 Methane'!A1", "4.2.1.1-2 Manure methane")</f>
        <v>4.2.1.1-2 Manure methane</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HYPERLINK("#'4.2.1.3-4 Soil direct N20'!A1", "4.2.1.3-4 Soil direct N2O")</f>
        <v>4.2.1.3-4 Soil direct N2O</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HYPERLINK("#'4.2.1.5-6 Soil Atmos Dep'!A1", "4.2.1.5-6 Soil atm. deposition")</f>
        <v>4.2.1.5-6 Soil atm. deposition</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HYPERLINK("#'4.2.1.7-8 Soil leach runoff'!A1", "4.2.1.7-8 Soil leach &amp; runoff")</f>
        <v>4.2.1.7-8 Soil leach &amp; runoff</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HYPERLINK("#'5.1.1.1-2 Inorganic fert N2O'!A1", "5.1.1.1-2 Inorganic fert N2O")</f>
        <v>5.1.1.1-2 Inorganic fert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HYPERLINK("#'5.1.1.3-4 Inorganic fert CO2'!A1", "5.1.1.3-4 Inorganic fert CO2")</f>
        <v>5.1.1.3-4 Inorganic fert CO2</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HYPERLINK("#'5.2.1.1-2 Organic Fert N2O'!A1", "5.2.1.1-2 Organic fert N2O")</f>
        <v>5.2.1.1-2 Organic fert N2O</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HYPERLINK("#'5.3.1.1-2 Lime CO2'!A1", "5.3.1.1-2 Lime CO2")</f>
        <v>5.3.1.1-2 Lime CO2</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HYPERLINK("#'5.4.1.1-4 Atmos deposition'!A1", "5.4.1.1-4 Atmos. deposition")</f>
        <v>5.4.1.1-4 Atmos. deposition</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HYPERLINK("#'5.5.1.1-2 Leaching and runoff'!A1", "5.5.1.1-2 Leaching &amp; runoff")</f>
        <v>5.5.1.1-2 Leaching &amp; runoff</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HYPERLINK("#'6.2.1.1-2 Pasture residue N2O'!A1", "6.2.1.1-2 Pasture residue N2O")</f>
        <v>6.2.1.1-2 Pasture residue N2O</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HYPERLINK("#'6.3.1.1-2 Leach runoff pasture'!A1", "6.3.1.1-2 Leach &amp; runoff (pasture)")</f>
        <v>6.3.1.1-2 Leach &amp; runoff (pasture)</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HYPERLINK("#'8.1.1.1-2 Transport fuel'!A1", "8.1.1.1-2 Transport fuel")</f>
        <v>8.1.1.1-2 Transport fuel</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4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HYPERLINK("#'8.2.1.1-2 Stationary fuel'!A1", "8.2.1.1-2 Stationary fuel")</f>
        <v>8.2.1.1-2 Stationary fuel</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4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HYPERLINK("#'14.1.1-2 Purchased electricity'!A1", "14.1.1-2 Purchased electricity")</f>
        <v>14.1.1-2 Purchased electricity</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4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HYPERLINK("#'15 Scope 3'!A1", "15 Scope 3")</f>
        <v>15 Scope 3</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4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HYPERLINK("#'Calcs - Manure sent off-site'!A1", "Calcs - Manure sent off-site")</f>
        <v>Calcs - Manure sent off-site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4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HYPERLINK("#'10.1.1-2 Solid waste treatment'!A1", "10.1.1-2 Solid waste treatment")</f>
        <v>10.1.1-2 Solid waste treatment</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4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4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4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94" t="s">
        <v>1</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4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Pasture Beef'!A1", "Constants - Pasture Beef")</f>
        <v>Constants - Pasture Beef</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4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Ag Residue'!A1", "Constants - Ag residue")</f>
        <v>Constants - Ag residue</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4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4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Electricity'!A1", "Constants - Electricity")</f>
        <v>Constants - Electricity</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4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Fertiliser'!A1", "Constants - Fertiliser")</f>
        <v>Constants - Fertiliser</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4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Fuel'!A1", "Constants - Fuel")</f>
        <v>Constants - Fuel</v>
      </c>
    </row>
    <row r="52" spans="1:7" ht="20.100000000000001" customHeight="1" x14ac:dyDescent="0.25">
      <c r="A52" s="5" t="str">
        <f>HYPERLINK("#'Constants - Scope 3'!A1", "Constants - Scope 3")</f>
        <v>Constants - Scope 3</v>
      </c>
      <c r="D52" s="2" t="str" cm="1">
        <f t="array" ref="D52">WasteSolid_SourceData.Waste_WasteVolumeToMassConversion_Title()</f>
        <v>Volume to mass conversion factor for various waste types</v>
      </c>
    </row>
    <row r="53" spans="1:7" ht="20.100000000000001" customHeight="1" x14ac:dyDescent="0.25">
      <c r="A53" s="5" t="str">
        <f>HYPERLINK("#'Constants - Common'!A1", "Constants - Common")</f>
        <v>Constants - Common</v>
      </c>
      <c r="D53" s="27" t="str" cm="1">
        <f t="array" ref="D53">WasteSolid_SourceData.Waste_WasteVolumeToMassConversion_Source()</f>
        <v>VEERG 2026: Table A.4.1.2</v>
      </c>
    </row>
    <row r="54" spans="1:7" ht="20.100000000000001" customHeight="1" x14ac:dyDescent="0.25">
      <c r="A54" s="5" t="str">
        <f>HYPERLINK("#'Acknowledgements'!A1", "Acknowledgements")</f>
        <v>Acknowledgements</v>
      </c>
      <c r="D54" s="36" t="str" cm="1">
        <f t="array" ref="D54">WasteSolid_SourceData.Waste_WasteVolumeToMassConversion_Variation()</f>
        <v>VARIATION OF SOURCE: Changed column header CFw to VTMw to match title variable.</v>
      </c>
    </row>
    <row r="55" spans="1:7" ht="20.100000000000001" customHeight="1" x14ac:dyDescent="0.25">
      <c r="A55" s="128" t="str">
        <f>HYPERLINK("#'Constants - Solid Waste'!A1", "Constants - Solid Waste")</f>
        <v>Constants - Solid Waste</v>
      </c>
      <c r="D55" s="1" t="str" cm="1">
        <f t="array" ref="D55">WasteSolid_SourceData.Waste_WasteVolumeToMassConversion_Variable()</f>
        <v>VTMw</v>
      </c>
    </row>
    <row r="56" spans="1:7" ht="20.100000000000001" customHeight="1" x14ac:dyDescent="0.25">
      <c r="D56" s="15" t="str" cm="1">
        <f t="array" ref="D56">WasteSolid_SourceData.Waste_WasteVolumeToMassConversion_Unit()</f>
        <v>t/m3</v>
      </c>
    </row>
    <row r="57" spans="1:7" ht="20.100000000000001" customHeight="1" x14ac:dyDescent="0.25">
      <c r="D57" s="30" t="s">
        <v>861</v>
      </c>
      <c r="E57" s="30" t="s">
        <v>864</v>
      </c>
    </row>
    <row r="58" spans="1: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6C5C0-731A-4E4C-B203-81A3B3E91860}">
  <dimension ref="A1:AV55"/>
  <sheetViews>
    <sheetView showGridLines="0" tabSelected="1" workbookViewId="0" zoomScale="100" zoomScaleNormal="100">
      <selection activeCell="A54" sqref="A5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1189</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7" t="s">
        <v>1190</v>
      </c>
      <c r="E5" s="54"/>
      <c r="F5" s="54"/>
      <c r="G5" s="54"/>
      <c r="H5" s="54"/>
      <c r="I5" s="54"/>
      <c r="J5" s="54"/>
      <c r="K5" s="54"/>
      <c r="L5" s="54"/>
      <c r="M5" s="54"/>
      <c r="N5" s="54"/>
      <c r="O5" s="55"/>
    </row>
    <row r="6" spans="1:42" ht="20.100000000000001" customHeight="1" x14ac:dyDescent="0.25">
      <c r="D6" s="272" t="s">
        <v>1191</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Pasture'!A1", "Pasture")</f>
        <v>Pasture</v>
      </c>
    </row>
    <row r="14" spans="1:42" ht="20.100000000000001" customHeight="1" x14ac:dyDescent="0.25">
      <c r="A14" s="5" t="str">
        <f>HYPERLINK("#'Input - Fertiliser'!A1", "Fertiliser")</f>
        <v>Fertiliser</v>
      </c>
    </row>
    <row r="15" spans="1:42" ht="20.100000000000001" customHeight="1" x14ac:dyDescent="0.25">
      <c r="A15" s="5" t="str">
        <f>HYPERLINK("#'Input - Fuel'!A1", "Fuel")</f>
        <v>Fuel</v>
      </c>
    </row>
    <row r="16" spans="1:42" ht="20.100000000000001" customHeight="1" x14ac:dyDescent="0.25">
      <c r="A16" s="5" t="str">
        <f>HYPERLINK("#'Input - Electricity'!A1", "Electricity")</f>
        <v>Electricity</v>
      </c>
    </row>
    <row r="17" spans="1:1" ht="20.100000000000001" customHeight="1" x14ac:dyDescent="0.25">
      <c r="A17" s="5" t="str">
        <f>HYPERLINK("#'Input - Farm Inputs'!A1", "Farm Inputs")</f>
        <v>Farm Inputs</v>
      </c>
    </row>
    <row r="18" spans="1:1" ht="20.100000000000001" customHeight="1" x14ac:dyDescent="0.25">
      <c r="A18" s="5" t="str">
        <f>HYPERLINK("#'Input - Freight'!A1", "Freight")</f>
        <v>Freight</v>
      </c>
    </row>
    <row r="19" spans="1:1" ht="20.100000000000001" customHeight="1" x14ac:dyDescent="0.25">
      <c r="A19" s="5" t="str">
        <f>HYPERLINK("#'Input - Manure sent off-site'!A1", "Manure sent off-site")</f>
        <v>Manure sent off-site</v>
      </c>
    </row>
    <row r="20" spans="1:1" ht="20.100000000000001" customHeight="1" x14ac:dyDescent="0.25">
      <c r="A20" s="5" t="str">
        <f>HYPERLINK("#'Input - Solid waste'!A1", "Solid waste")</f>
        <v>Solid waste</v>
      </c>
    </row>
    <row r="21" spans="1:1" ht="20.100000000000001" customHeight="1" x14ac:dyDescent="0.25"/>
    <row r="22" spans="1:1" ht="20.100000000000001" customHeight="1" x14ac:dyDescent="0.25"/>
    <row r="23" spans="1:1" ht="20.100000000000001" customHeight="1" x14ac:dyDescent="0.25">
      <c r="A23" s="6" t="s">
        <v>2</v>
      </c>
    </row>
    <row r="24" spans="1:1" ht="20.100000000000001" customHeight="1" x14ac:dyDescent="0.25">
      <c r="A24" s="5" t="str">
        <f>HYPERLINK("#'3.2.1.1-2 Enteric Methane'!A1", "3.2.1.1-2 Enteric methane")</f>
        <v>3.2.1.1-2 Enteric methane</v>
      </c>
    </row>
    <row r="25" spans="1:1" ht="20.100000000000001" customHeight="1" x14ac:dyDescent="0.25">
      <c r="A25" s="5" t="str">
        <f>HYPERLINK("#'4.2.1.1-2 Methane'!A1", "4.2.1.1-2 Manure methane")</f>
        <v>4.2.1.1-2 Manure methane</v>
      </c>
    </row>
    <row r="26" spans="1:1" ht="20.100000000000001" customHeight="1" x14ac:dyDescent="0.25">
      <c r="A26" s="5" t="str">
        <f>HYPERLINK("#'4.2.1.3-4 Soil direct N20'!A1", "4.2.1.3-4 Soil direct N2O")</f>
        <v>4.2.1.3-4 Soil direct N2O</v>
      </c>
    </row>
    <row r="27" spans="1:1" ht="20.100000000000001" customHeight="1" x14ac:dyDescent="0.25">
      <c r="A27" s="5" t="str">
        <f>HYPERLINK("#'4.2.1.5-6 Soil Atmos Dep'!A1", "4.2.1.5-6 Soil atm. deposition")</f>
        <v>4.2.1.5-6 Soil atm. deposition</v>
      </c>
    </row>
    <row r="28" spans="1:1" ht="20.100000000000001" customHeight="1" x14ac:dyDescent="0.25">
      <c r="A28" s="5" t="str">
        <f>HYPERLINK("#'4.2.1.7-8 Soil leach runoff'!A1", "4.2.1.7-8 Soil leach &amp; runoff")</f>
        <v>4.2.1.7-8 Soil leach &amp; runoff</v>
      </c>
    </row>
    <row r="29" spans="1:1" ht="20.100000000000001" customHeight="1" x14ac:dyDescent="0.25">
      <c r="A29" s="5" t="str">
        <f>HYPERLINK("#'5.1.1.1-2 Inorganic fert N2O'!A1", "5.1.1.1-2 Inorganic fert N2O")</f>
        <v>5.1.1.1-2 Inorganic fert N2O</v>
      </c>
    </row>
    <row r="30" spans="1:1" ht="20.100000000000001" customHeight="1" x14ac:dyDescent="0.25">
      <c r="A30" s="5" t="str">
        <f>HYPERLINK("#'5.1.1.3-4 Inorganic fert CO2'!A1", "5.1.1.3-4 Inorganic fert CO2")</f>
        <v>5.1.1.3-4 Inorganic fert CO2</v>
      </c>
    </row>
    <row r="31" spans="1:1" ht="20.100000000000001" customHeight="1" x14ac:dyDescent="0.25">
      <c r="A31" s="5" t="str">
        <f>HYPERLINK("#'5.2.1.1-2 Organic Fert N2O'!A1", "5.2.1.1-2 Organic fert N2O")</f>
        <v>5.2.1.1-2 Organic fert N2O</v>
      </c>
    </row>
    <row r="32" spans="1:1" ht="20.100000000000001" customHeight="1" x14ac:dyDescent="0.25">
      <c r="A32" s="5" t="str">
        <f>HYPERLINK("#'5.3.1.1-2 Lime CO2'!A1", "5.3.1.1-2 Lime CO2")</f>
        <v>5.3.1.1-2 Lime CO2</v>
      </c>
    </row>
    <row r="33" spans="1:48" ht="20.100000000000001" customHeight="1" x14ac:dyDescent="0.25">
      <c r="A33" s="5" t="str">
        <f>HYPERLINK("#'5.4.1.1-4 Atmos deposition'!A1", "5.4.1.1-4 Atmos. deposition")</f>
        <v>5.4.1.1-4 Atmos. deposition</v>
      </c>
    </row>
    <row r="34" spans="1:48" ht="20.100000000000001" customHeight="1" x14ac:dyDescent="0.25">
      <c r="A34" s="5" t="str">
        <f>HYPERLINK("#'5.5.1.1-2 Leaching and runoff'!A1", "5.5.1.1-2 Leaching &amp; runoff")</f>
        <v>5.5.1.1-2 Leaching &amp; runoff</v>
      </c>
    </row>
    <row r="35" spans="1:48" ht="20.100000000000001" customHeight="1" x14ac:dyDescent="0.25">
      <c r="A35" s="5" t="str">
        <f>HYPERLINK("#'6.2.1.1-2 Pasture residue N2O'!A1", "6.2.1.1-2 Pasture residue N2O")</f>
        <v>6.2.1.1-2 Pasture residue N2O</v>
      </c>
    </row>
    <row r="36" spans="1:48" ht="20.100000000000001" customHeight="1" x14ac:dyDescent="0.25">
      <c r="A36" s="5" t="str">
        <f>HYPERLINK("#'6.3.1.1-2 Leach runoff pasture'!A1", "6.3.1.1-2 Leach &amp; runoff (pasture)")</f>
        <v>6.3.1.1-2 Leach &amp; runoff (pasture)</v>
      </c>
    </row>
    <row r="37" spans="1:48" ht="20.100000000000001" customHeight="1" x14ac:dyDescent="0.25">
      <c r="A37" s="5" t="str">
        <f>HYPERLINK("#'8.1.1.1-2 Transport fuel'!A1", "8.1.1.1-2 Transport fuel")</f>
        <v>8.1.1.1-2 Transport fuel</v>
      </c>
      <c r="L37" s="1" t="s">
        <v>1192</v>
      </c>
    </row>
    <row r="38" spans="1:48" ht="20.100000000000001" customHeight="1" x14ac:dyDescent="0.25">
      <c r="A38" s="5" t="str">
        <f>HYPERLINK("#'8.2.1.1-2 Stationary fuel'!A1", "8.2.1.1-2 Stationary fuel")</f>
        <v>8.2.1.1-2 Stationary fuel</v>
      </c>
    </row>
    <row r="39" spans="1:48" ht="20.100000000000001" customHeight="1" x14ac:dyDescent="0.25">
      <c r="A39" s="5" t="str">
        <f>HYPERLINK("#'14.1.1-2 Purchased electricity'!A1", "14.1.1-2 Purchased electricity")</f>
        <v>14.1.1-2 Purchased electricity</v>
      </c>
    </row>
    <row r="40" spans="1:48" ht="20.100000000000001" customHeight="1" x14ac:dyDescent="0.25">
      <c r="A40" s="5" t="str">
        <f>HYPERLINK("#'15 Scope 3'!A1", "15 Scope 3")</f>
        <v>15 Scope 3</v>
      </c>
    </row>
    <row r="41" spans="1:48" ht="20.100000000000001" customHeight="1" x14ac:dyDescent="0.25">
      <c r="A41" s="5" t="str">
        <f>HYPERLINK("#'Calcs - Manure sent off-site'!A1", "Calcs - Manure sent off-site")</f>
        <v>Calcs - Manure sent off-site</v>
      </c>
    </row>
    <row r="42" spans="1:48" ht="20.100000000000001" customHeight="1" x14ac:dyDescent="0.25">
      <c r="A42" s="5" t="str">
        <f>HYPERLINK("#'10.1.1-2 Solid waste treatment'!A1", "10.1.1-2 Solid waste treatment")</f>
        <v>10.1.1-2 Solid waste treatment</v>
      </c>
    </row>
    <row r="45" spans="1:48" x14ac:dyDescent="0.25">
      <c r="A45" s="94" t="s">
        <v>1</v>
      </c>
      <c r="AV45" t="s">
        <v>1193</v>
      </c>
    </row>
    <row r="46" spans="1:48" x14ac:dyDescent="0.25">
      <c r="A46" s="5" t="str">
        <f>HYPERLINK("#'Constants - Pasture Beef'!A1", "Constants - Pasture Beef")</f>
        <v>Constants - Pasture Beef</v>
      </c>
    </row>
    <row r="47" spans="1:48" x14ac:dyDescent="0.25">
      <c r="A47" s="5" t="str">
        <f>HYPERLINK("#'Constants - Ag Residue'!A1", "Constants - Ag residue")</f>
        <v>Constants - Ag residue</v>
      </c>
    </row>
    <row r="48" spans="1:48"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Common'!A1", "Constants - Common")</f>
        <v>Constants - Common</v>
      </c>
    </row>
    <row r="54" spans="1:1" x14ac:dyDescent="0.25">
      <c r="A54" s="5" t="str">
        <f>HYPERLINK("#'Acknowledgements'!A1", "Acknowledgements")</f>
        <v>Acknowledgements</v>
      </c>
    </row>
    <row r="55" spans="1:1" x14ac:dyDescent="0.25">
      <c r="A55"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415</vt:i4>
      </vt:variant>
    </vt:vector>
  </HeadingPairs>
  <TitlesOfParts>
    <vt:vector size="459"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X_Cell_PastureBeef_CalculatedMMSAnaerobicLagoon</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2026-07-30T01:41:44Z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