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18046\Downloads\"/>
    </mc:Choice>
  </mc:AlternateContent>
  <xr:revisionPtr revIDLastSave="0" documentId="8_{A2ADCFC5-BD23-481F-8C7D-1A5392FCFA27}" xr6:coauthVersionLast="47" xr6:coauthVersionMax="47" xr10:uidLastSave="{00000000-0000-0000-0000-000000000000}"/>
  <bookViews>
    <workbookView xWindow="-108" yWindow="-108" windowWidth="23256" windowHeight="12576" xr2:uid="{036AA0BB-8D30-4F23-A471-05CD187AE4A5}"/>
  </bookViews>
  <sheets>
    <sheet name="Computer" sheetId="11" r:id="rId1"/>
    <sheet name="Computer(Constraints)" sheetId="16" r:id="rId2"/>
    <sheet name="Computer Sensitivity" sheetId="15" r:id="rId3"/>
    <sheet name="Alloy" sheetId="6" r:id="rId4"/>
    <sheet name="Alloy Report" sheetId="19" r:id="rId5"/>
    <sheet name="Alloy Sensitivty" sheetId="21" r:id="rId6"/>
    <sheet name="Alloy_STS" sheetId="17" state="veryHidden" r:id="rId7"/>
    <sheet name="3.2_STS" sheetId="13" state="veryHidden" r:id="rId8"/>
  </sheets>
  <definedNames>
    <definedName name="AllowW">Alloy!$A$11</definedName>
    <definedName name="AllowWlb.">Alloy!$A$11</definedName>
    <definedName name="AllowYlb.">Alloy!$C$11</definedName>
    <definedName name="AlloyXlb.">Alloy!$B$11</definedName>
    <definedName name="AlloyZlb.">Alloy!$D$11</definedName>
    <definedName name="AW">Alloy!$A$6</definedName>
    <definedName name="AX">Alloy!$B$6</definedName>
    <definedName name="AY">Alloy!$C$6</definedName>
    <definedName name="AZ">Alloy!$D$6</definedName>
    <definedName name="BasicAssReq" localSheetId="0">Computer!$B$8</definedName>
    <definedName name="BasicAssReq" localSheetId="1">'Computer(Constraints)'!$B$8</definedName>
    <definedName name="BasicAssReq">#REF!</definedName>
    <definedName name="BasicMargin" localSheetId="0">Computer!$B$12</definedName>
    <definedName name="BasicMargin" localSheetId="1">'Computer(Constraints)'!$B$12</definedName>
    <definedName name="BasicMargin">#REF!</definedName>
    <definedName name="BasicMargin3_2">#REF!</definedName>
    <definedName name="BasicPartCosts" localSheetId="0">Computer!$B$10</definedName>
    <definedName name="BasicPartCosts" localSheetId="1">'Computer(Constraints)'!$B$10</definedName>
    <definedName name="BasicPartCosts">#REF!</definedName>
    <definedName name="BasicSellPrice" localSheetId="0">Computer!$B$11</definedName>
    <definedName name="BasicSellPrice" localSheetId="1">'Computer(Constraints)'!$B$11</definedName>
    <definedName name="BasicSellPrice">#REF!</definedName>
    <definedName name="BasicTestReq" localSheetId="1">'Computer(Constraints)'!$B$9</definedName>
    <definedName name="BasicTestReq">Computer!$B$9</definedName>
    <definedName name="ChartData" localSheetId="2">'Computer Sensitivity'!$K$5:$K$20</definedName>
    <definedName name="CostAss" localSheetId="0">Computer!$B$3</definedName>
    <definedName name="CostAss" localSheetId="1">'Computer(Constraints)'!$B$3</definedName>
    <definedName name="CostAss">#REF!</definedName>
    <definedName name="CostAss1">#REF!</definedName>
    <definedName name="CostTest" localSheetId="0">Computer!$B$4</definedName>
    <definedName name="CostTest" localSheetId="1">'Computer(Constraints)'!$B$4</definedName>
    <definedName name="CostTest">#REF!</definedName>
    <definedName name="CW">Alloy!$A$8</definedName>
    <definedName name="CX">Alloy!$B$8</definedName>
    <definedName name="CY">Alloy!$C$8</definedName>
    <definedName name="CZ">Alloy!$D$8</definedName>
    <definedName name="InputValues" localSheetId="2">'Computer Sensitivity'!$A$5:$A$20</definedName>
    <definedName name="MaxHoursAss" localSheetId="0">Computer!$C$20</definedName>
    <definedName name="MaxHoursAss" localSheetId="1">'Computer(Constraints)'!$C$20</definedName>
    <definedName name="MaxHoursAss">#REF!</definedName>
    <definedName name="MaxHoursTest" localSheetId="0">Computer!$C$21</definedName>
    <definedName name="MaxHoursTest" localSheetId="1">'Computer(Constraints)'!$C$21</definedName>
    <definedName name="MaxHoursTest">#REF!</definedName>
    <definedName name="MaxProduced" localSheetId="0">Computer!$B$17:$C$17</definedName>
    <definedName name="MaxProduced" localSheetId="1">'Computer(Constraints)'!$B$17:$C$17</definedName>
    <definedName name="MaxProduced">#REF!</definedName>
    <definedName name="MaxSaleBasic" localSheetId="0">Computer!$B$17</definedName>
    <definedName name="MaxSaleBasic" localSheetId="1">'Computer(Constraints)'!$B$17</definedName>
    <definedName name="MaxSaleBasic">#REF!</definedName>
    <definedName name="MaxSaleXP" localSheetId="0">Computer!$C$17</definedName>
    <definedName name="MaxSaleXP" localSheetId="1">'Computer(Constraints)'!$C$17</definedName>
    <definedName name="MaxSaleXP">#REF!</definedName>
    <definedName name="MaxToProduce3_2" localSheetId="1">'Computer(Constraints)'!$B$17:$D$17</definedName>
    <definedName name="MaxToProduce3_2">Computer!$B$17:$D$17</definedName>
    <definedName name="MW">Alloy!$A$10</definedName>
    <definedName name="MX">Alloy!$B$10</definedName>
    <definedName name="MY">Alloy!$C$10</definedName>
    <definedName name="MZ">Alloy!$D$10</definedName>
    <definedName name="NumProduced" localSheetId="0">Computer!$B$16:$C$16</definedName>
    <definedName name="NumProduced" localSheetId="1">'Computer(Constraints)'!$B$16:$C$16</definedName>
    <definedName name="NumProduced">#REF!</definedName>
    <definedName name="NumToProd3_2" localSheetId="1">'Computer(Constraints)'!$B$16:$D$16</definedName>
    <definedName name="NumToProd3_2">Computer!$B$16:$D$16</definedName>
    <definedName name="OutputAddresses" localSheetId="2">'Computer Sensitivity'!$B$4:$E$4</definedName>
    <definedName name="OutputValues" localSheetId="2">'Computer Sensitivity'!$B$5:$E$20</definedName>
    <definedName name="solver_adj" localSheetId="3" hidden="1">Alloy!$D$14:$D$17</definedName>
    <definedName name="solver_adj" localSheetId="0" hidden="1">Computer!$B$16:$D$16</definedName>
    <definedName name="solver_adj" localSheetId="1" hidden="1">'Computer(Constraints)'!$B$16:$D$16</definedName>
    <definedName name="solver_cvg" localSheetId="3" hidden="1">0.0001</definedName>
    <definedName name="solver_cvg" localSheetId="0" hidden="1">0.0001</definedName>
    <definedName name="solver_cvg" localSheetId="1" hidden="1">0.0001</definedName>
    <definedName name="solver_drv" localSheetId="3" hidden="1">1</definedName>
    <definedName name="solver_drv" localSheetId="0" hidden="1">1</definedName>
    <definedName name="solver_drv" localSheetId="1" hidden="1">1</definedName>
    <definedName name="solver_eng" localSheetId="3" hidden="1">2</definedName>
    <definedName name="solver_eng" localSheetId="0" hidden="1">2</definedName>
    <definedName name="solver_eng" localSheetId="1" hidden="1">2</definedName>
    <definedName name="solver_est" localSheetId="3" hidden="1">1</definedName>
    <definedName name="solver_est" localSheetId="0" hidden="1">1</definedName>
    <definedName name="solver_est" localSheetId="1" hidden="1">1</definedName>
    <definedName name="solver_itr" localSheetId="3" hidden="1">2147483647</definedName>
    <definedName name="solver_itr" localSheetId="0" hidden="1">2147483647</definedName>
    <definedName name="solver_itr" localSheetId="1" hidden="1">2147483647</definedName>
    <definedName name="solver_lhs1" localSheetId="3" hidden="1">Alloy!$C$20</definedName>
    <definedName name="solver_lhs1" localSheetId="0" hidden="1">Computer!$B$20</definedName>
    <definedName name="solver_lhs1" localSheetId="1" hidden="1">'Computer(Constraints)'!$B$20</definedName>
    <definedName name="solver_lhs2" localSheetId="3" hidden="1">Alloy!$C$21</definedName>
    <definedName name="solver_lhs2" localSheetId="0" hidden="1">Computer!$B$21</definedName>
    <definedName name="solver_lhs2" localSheetId="1" hidden="1">'Computer(Constraints)'!$B$21</definedName>
    <definedName name="solver_lhs3" localSheetId="3" hidden="1">Alloy!$C$22</definedName>
    <definedName name="solver_lhs3" localSheetId="0" hidden="1">Computer!$B$16:$D$16</definedName>
    <definedName name="solver_lhs3" localSheetId="1" hidden="1">'Computer(Constraints)'!$B$16:$D$16</definedName>
    <definedName name="solver_lhs4" localSheetId="3" hidden="1">Alloy!$D$14:$D$17</definedName>
    <definedName name="solver_lhs4" localSheetId="0" hidden="1">Computer!$C$16</definedName>
    <definedName name="solver_lhs4" localSheetId="1" hidden="1">'Computer(Constraints)'!$B$16:$D$16</definedName>
    <definedName name="solver_mip" localSheetId="3" hidden="1">2147483647</definedName>
    <definedName name="solver_mip" localSheetId="0" hidden="1">2147483647</definedName>
    <definedName name="solver_mip" localSheetId="1" hidden="1">2147483647</definedName>
    <definedName name="solver_mni" localSheetId="3" hidden="1">30</definedName>
    <definedName name="solver_mni" localSheetId="0" hidden="1">30</definedName>
    <definedName name="solver_mni" localSheetId="1" hidden="1">30</definedName>
    <definedName name="solver_mrt" localSheetId="3" hidden="1">0.075</definedName>
    <definedName name="solver_mrt" localSheetId="0" hidden="1">0.075</definedName>
    <definedName name="solver_mrt" localSheetId="1" hidden="1">0.075</definedName>
    <definedName name="solver_msl" localSheetId="3" hidden="1">2</definedName>
    <definedName name="solver_msl" localSheetId="0" hidden="1">2</definedName>
    <definedName name="solver_msl" localSheetId="1" hidden="1">2</definedName>
    <definedName name="solver_neg" localSheetId="3" hidden="1">1</definedName>
    <definedName name="solver_neg" localSheetId="0" hidden="1">1</definedName>
    <definedName name="solver_neg" localSheetId="1" hidden="1">1</definedName>
    <definedName name="solver_nod" localSheetId="3" hidden="1">2147483647</definedName>
    <definedName name="solver_nod" localSheetId="0" hidden="1">2147483647</definedName>
    <definedName name="solver_nod" localSheetId="1" hidden="1">2147483647</definedName>
    <definedName name="solver_num" localSheetId="3" hidden="1">3</definedName>
    <definedName name="solver_num" localSheetId="0" hidden="1">3</definedName>
    <definedName name="solver_num" localSheetId="1" hidden="1">4</definedName>
    <definedName name="solver_nwt" localSheetId="3" hidden="1">1</definedName>
    <definedName name="solver_nwt" localSheetId="0" hidden="1">1</definedName>
    <definedName name="solver_nwt" localSheetId="1" hidden="1">1</definedName>
    <definedName name="solver_opt" localSheetId="3" hidden="1">Alloy!$B$29</definedName>
    <definedName name="solver_opt" localSheetId="0" hidden="1">Computer!$E$24</definedName>
    <definedName name="solver_opt" localSheetId="1" hidden="1">'Computer(Constraints)'!$E$24</definedName>
    <definedName name="solver_pre" localSheetId="3" hidden="1">0.000001</definedName>
    <definedName name="solver_pre" localSheetId="0" hidden="1">0.000001</definedName>
    <definedName name="solver_pre" localSheetId="1" hidden="1">0.000001</definedName>
    <definedName name="solver_rbv" localSheetId="3" hidden="1">1</definedName>
    <definedName name="solver_rbv" localSheetId="0" hidden="1">1</definedName>
    <definedName name="solver_rbv" localSheetId="1" hidden="1">1</definedName>
    <definedName name="solver_rel1" localSheetId="3" hidden="1">1</definedName>
    <definedName name="solver_rel1" localSheetId="0" hidden="1">1</definedName>
    <definedName name="solver_rel1" localSheetId="1" hidden="1">1</definedName>
    <definedName name="solver_rel2" localSheetId="3" hidden="1">1</definedName>
    <definedName name="solver_rel2" localSheetId="0" hidden="1">1</definedName>
    <definedName name="solver_rel2" localSheetId="1" hidden="1">1</definedName>
    <definedName name="solver_rel3" localSheetId="3" hidden="1">1</definedName>
    <definedName name="solver_rel3" localSheetId="0" hidden="1">1</definedName>
    <definedName name="solver_rel3" localSheetId="1" hidden="1">1</definedName>
    <definedName name="solver_rel4" localSheetId="3" hidden="1">4</definedName>
    <definedName name="solver_rel4" localSheetId="0" hidden="1">1</definedName>
    <definedName name="solver_rel4" localSheetId="1" hidden="1">4</definedName>
    <definedName name="solver_rhs1" localSheetId="3" hidden="1">Alloy!$B$20</definedName>
    <definedName name="solver_rhs1" localSheetId="0" hidden="1">Computer!$C$20</definedName>
    <definedName name="solver_rhs1" localSheetId="1" hidden="1">'Computer(Constraints)'!$C$20</definedName>
    <definedName name="solver_rhs2" localSheetId="3" hidden="1">Alloy!$B$21</definedName>
    <definedName name="solver_rhs2" localSheetId="0" hidden="1">Computer!$C$21</definedName>
    <definedName name="solver_rhs2" localSheetId="1" hidden="1">'Computer(Constraints)'!$C$21</definedName>
    <definedName name="solver_rhs3" localSheetId="3" hidden="1">Alloy!$B$22</definedName>
    <definedName name="solver_rhs3" localSheetId="0" hidden="1">MaxToProduce3_2</definedName>
    <definedName name="solver_rhs3" localSheetId="1" hidden="1">'Computer(Constraints)'!$B$17:$D$17</definedName>
    <definedName name="solver_rhs4" localSheetId="3" hidden="1">"integer"</definedName>
    <definedName name="solver_rhs4" localSheetId="0" hidden="1">Computer!MaxSaleXP</definedName>
    <definedName name="solver_rhs4" localSheetId="1" hidden="1">"integer"</definedName>
    <definedName name="solver_rlx" localSheetId="3" hidden="1">2</definedName>
    <definedName name="solver_rlx" localSheetId="0" hidden="1">2</definedName>
    <definedName name="solver_rlx" localSheetId="1" hidden="1">2</definedName>
    <definedName name="solver_rsd" localSheetId="3" hidden="1">0</definedName>
    <definedName name="solver_rsd" localSheetId="0" hidden="1">0</definedName>
    <definedName name="solver_rsd" localSheetId="1" hidden="1">0</definedName>
    <definedName name="solver_scl" localSheetId="3" hidden="1">1</definedName>
    <definedName name="solver_scl" localSheetId="0" hidden="1">1</definedName>
    <definedName name="solver_scl" localSheetId="1" hidden="1">1</definedName>
    <definedName name="solver_sho" localSheetId="3" hidden="1">2</definedName>
    <definedName name="solver_sho" localSheetId="0" hidden="1">2</definedName>
    <definedName name="solver_sho" localSheetId="1" hidden="1">2</definedName>
    <definedName name="solver_ssz" localSheetId="3" hidden="1">100</definedName>
    <definedName name="solver_ssz" localSheetId="0" hidden="1">100</definedName>
    <definedName name="solver_ssz" localSheetId="1" hidden="1">100</definedName>
    <definedName name="solver_tim" localSheetId="3" hidden="1">2147483647</definedName>
    <definedName name="solver_tim" localSheetId="0" hidden="1">2147483647</definedName>
    <definedName name="solver_tim" localSheetId="1" hidden="1">2147483647</definedName>
    <definedName name="solver_tol" localSheetId="3" hidden="1">0.01</definedName>
    <definedName name="solver_tol" localSheetId="0" hidden="1">0.01</definedName>
    <definedName name="solver_tol" localSheetId="1" hidden="1">0.01</definedName>
    <definedName name="solver_typ" localSheetId="3" hidden="1">1</definedName>
    <definedName name="solver_typ" localSheetId="0" hidden="1">1</definedName>
    <definedName name="solver_typ" localSheetId="1" hidden="1">1</definedName>
    <definedName name="solver_val" localSheetId="3" hidden="1">0</definedName>
    <definedName name="solver_val" localSheetId="0" hidden="1">0</definedName>
    <definedName name="solver_val" localSheetId="1" hidden="1">0</definedName>
    <definedName name="solver_ver" localSheetId="3" hidden="1">3</definedName>
    <definedName name="solver_ver" localSheetId="0" hidden="1">3</definedName>
    <definedName name="solver_ver" localSheetId="1" hidden="1">3</definedName>
    <definedName name="TotalProfit" localSheetId="0">Computer!$E$24</definedName>
    <definedName name="TotalProfit" localSheetId="1">'Computer(Constraints)'!$E$24</definedName>
    <definedName name="TotalProfit">#REF!</definedName>
    <definedName name="VXPAssReq" localSheetId="1">'Computer(Constraints)'!$D$8</definedName>
    <definedName name="VXPAssReq">Computer!$D$8</definedName>
    <definedName name="VXPMargin" localSheetId="1">'Computer(Constraints)'!$D$12</definedName>
    <definedName name="VXPMargin">Computer!$D$12</definedName>
    <definedName name="VXPPartCost" localSheetId="1">'Computer(Constraints)'!$D$10</definedName>
    <definedName name="VXPPartCost">Computer!$D$10</definedName>
    <definedName name="VXPSellPrice" localSheetId="1">'Computer(Constraints)'!$D$11</definedName>
    <definedName name="VXPSellPrice">Computer!$D$11</definedName>
    <definedName name="VXPTestReq" localSheetId="1">'Computer(Constraints)'!$D$9</definedName>
    <definedName name="VXPTestReq">Computer!$D$9</definedName>
    <definedName name="XPAssReq" localSheetId="0">Computer!$C$8</definedName>
    <definedName name="XPAssReq" localSheetId="1">'Computer(Constraints)'!$C$8</definedName>
    <definedName name="XPAssReq">#REF!</definedName>
    <definedName name="XPMargin" localSheetId="0">Computer!$C$12</definedName>
    <definedName name="XPMargin" localSheetId="1">'Computer(Constraints)'!$C$12</definedName>
    <definedName name="XPMargin">#REF!</definedName>
    <definedName name="XPMargin3_2">#REF!</definedName>
    <definedName name="XPPartCost" localSheetId="1">'Computer(Constraints)'!$C$10</definedName>
    <definedName name="XPPartCost">Computer!$C$10</definedName>
    <definedName name="XPSellPrice" localSheetId="0">Computer!$C$11</definedName>
    <definedName name="XPSellPrice" localSheetId="1">'Computer(Constraints)'!$C$11</definedName>
    <definedName name="XPSellPrice">#REF!</definedName>
    <definedName name="XPTestReq" localSheetId="1">'Computer(Constraints)'!$C$9</definedName>
    <definedName name="XPTestReq">Computer!$C$9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2" i="6" l="1"/>
  <c r="C21" i="6"/>
  <c r="C20" i="6"/>
  <c r="D11" i="6"/>
  <c r="C11" i="6"/>
  <c r="B11" i="6"/>
  <c r="A11" i="6"/>
  <c r="B29" i="6"/>
  <c r="B28" i="6" l="1"/>
  <c r="B27" i="6"/>
  <c r="B26" i="6"/>
  <c r="B25" i="6"/>
  <c r="D24" i="16"/>
  <c r="C24" i="16"/>
  <c r="B24" i="16"/>
  <c r="B21" i="16"/>
  <c r="B20" i="16"/>
  <c r="D12" i="16"/>
  <c r="C12" i="16"/>
  <c r="B12" i="16"/>
  <c r="K1" i="15"/>
  <c r="J4" i="15"/>
  <c r="K9" i="15" s="1"/>
  <c r="D12" i="11"/>
  <c r="D24" i="11" s="1"/>
  <c r="B21" i="11"/>
  <c r="B20" i="11"/>
  <c r="C12" i="11"/>
  <c r="C24" i="11" s="1"/>
  <c r="B12" i="11"/>
  <c r="B24" i="11" s="1"/>
  <c r="E24" i="16" l="1"/>
  <c r="K7" i="15"/>
  <c r="K10" i="15"/>
  <c r="K11" i="15"/>
  <c r="K12" i="15"/>
  <c r="K13" i="15"/>
  <c r="K14" i="15"/>
  <c r="K15" i="15"/>
  <c r="K16" i="15"/>
  <c r="K5" i="15"/>
  <c r="K17" i="15"/>
  <c r="K6" i="15"/>
  <c r="K18" i="15"/>
  <c r="K19" i="15"/>
  <c r="K20" i="15"/>
  <c r="K8" i="15"/>
  <c r="E24"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18046</author>
  </authors>
  <commentList>
    <comment ref="B5" authorId="0" shapeId="0" xr:uid="{12A7EA27-2576-4B46-8834-D3058D48DB65}">
      <text>
        <r>
          <rPr>
            <sz val="9"/>
            <color indexed="81"/>
            <rFont val="Tahoma"/>
            <family val="2"/>
          </rPr>
          <t>Solver found a solution. All constraints and optimality conditions are satisfied.</t>
        </r>
      </text>
    </comment>
    <comment ref="B6" authorId="0" shapeId="0" xr:uid="{DE281C44-1623-4512-8387-53BAC97AF8BE}">
      <text>
        <r>
          <rPr>
            <sz val="9"/>
            <color indexed="81"/>
            <rFont val="Tahoma"/>
            <family val="2"/>
          </rPr>
          <t>Solver found a solution. All constraints and optimality conditions are satisfied.</t>
        </r>
      </text>
    </comment>
    <comment ref="B7" authorId="0" shapeId="0" xr:uid="{79D8D0C9-3367-4F91-8687-1770BAEF92F7}">
      <text>
        <r>
          <rPr>
            <sz val="9"/>
            <color indexed="81"/>
            <rFont val="Tahoma"/>
            <family val="2"/>
          </rPr>
          <t>Solver found a solution. All constraints and optimality conditions are satisfied.</t>
        </r>
      </text>
    </comment>
    <comment ref="B8" authorId="0" shapeId="0" xr:uid="{5C12E87F-E068-453A-A652-DCD3BA3FB4BA}">
      <text>
        <r>
          <rPr>
            <sz val="9"/>
            <color indexed="81"/>
            <rFont val="Tahoma"/>
            <family val="2"/>
          </rPr>
          <t>Solver found a solution. All constraints and optimality conditions are satisfied.</t>
        </r>
      </text>
    </comment>
    <comment ref="B9" authorId="0" shapeId="0" xr:uid="{47EC4D6E-2108-47D7-B1EC-C30E86549911}">
      <text>
        <r>
          <rPr>
            <sz val="9"/>
            <color indexed="81"/>
            <rFont val="Tahoma"/>
            <family val="2"/>
          </rPr>
          <t>Solver found a solution. All constraints and optimality conditions are satisfied.</t>
        </r>
      </text>
    </comment>
    <comment ref="B10" authorId="0" shapeId="0" xr:uid="{B74005B3-23B7-4756-B6B1-24DC8FA44887}">
      <text>
        <r>
          <rPr>
            <sz val="9"/>
            <color indexed="81"/>
            <rFont val="Tahoma"/>
            <family val="2"/>
          </rPr>
          <t>Solver found a solution. All constraints and optimality conditions are satisfied.</t>
        </r>
      </text>
    </comment>
    <comment ref="B11" authorId="0" shapeId="0" xr:uid="{3633D544-B916-4059-BEC8-F99761730C78}">
      <text>
        <r>
          <rPr>
            <sz val="9"/>
            <color indexed="81"/>
            <rFont val="Tahoma"/>
            <family val="2"/>
          </rPr>
          <t>Solver found a solution. All constraints and optimality conditions are satisfied.</t>
        </r>
      </text>
    </comment>
    <comment ref="B12" authorId="0" shapeId="0" xr:uid="{D0033BF0-8A17-455E-B275-7AEC3AD9A483}">
      <text>
        <r>
          <rPr>
            <sz val="9"/>
            <color indexed="81"/>
            <rFont val="Tahoma"/>
            <family val="2"/>
          </rPr>
          <t>Solver found a solution. All constraints and optimality conditions are satisfied.</t>
        </r>
      </text>
    </comment>
    <comment ref="B13" authorId="0" shapeId="0" xr:uid="{8B112764-F097-4B52-9D1D-2EB701504118}">
      <text>
        <r>
          <rPr>
            <sz val="9"/>
            <color indexed="81"/>
            <rFont val="Tahoma"/>
            <family val="2"/>
          </rPr>
          <t>Solver found a solution. All constraints and optimality conditions are satisfied.</t>
        </r>
      </text>
    </comment>
    <comment ref="B14" authorId="0" shapeId="0" xr:uid="{6CEBB0FB-D8DA-459A-8E65-1C088E164B2B}">
      <text>
        <r>
          <rPr>
            <sz val="9"/>
            <color indexed="81"/>
            <rFont val="Tahoma"/>
            <family val="2"/>
          </rPr>
          <t>Solver found a solution. All constraints and optimality conditions are satisfied.</t>
        </r>
      </text>
    </comment>
    <comment ref="B15" authorId="0" shapeId="0" xr:uid="{D83F6D05-96FA-4457-A9F1-55F884146E85}">
      <text>
        <r>
          <rPr>
            <sz val="9"/>
            <color indexed="81"/>
            <rFont val="Tahoma"/>
            <family val="2"/>
          </rPr>
          <t>Solver found a solution. All constraints and optimality conditions are satisfied.</t>
        </r>
      </text>
    </comment>
    <comment ref="B16" authorId="0" shapeId="0" xr:uid="{D2B4E863-294C-4754-BCCF-6461794415AA}">
      <text>
        <r>
          <rPr>
            <sz val="9"/>
            <color indexed="81"/>
            <rFont val="Tahoma"/>
            <family val="2"/>
          </rPr>
          <t>Solver found a solution. All constraints and optimality conditions are satisfied.</t>
        </r>
      </text>
    </comment>
    <comment ref="B17" authorId="0" shapeId="0" xr:uid="{67FEA2FE-5C5D-475D-91D3-243D3C6D5BD6}">
      <text>
        <r>
          <rPr>
            <sz val="9"/>
            <color indexed="81"/>
            <rFont val="Tahoma"/>
            <family val="2"/>
          </rPr>
          <t>Solver found a solution. All constraints and optimality conditions are satisfied.</t>
        </r>
      </text>
    </comment>
    <comment ref="B18" authorId="0" shapeId="0" xr:uid="{0CCC3CA6-A211-46CE-8172-24BC7697A917}">
      <text>
        <r>
          <rPr>
            <sz val="9"/>
            <color indexed="81"/>
            <rFont val="Tahoma"/>
            <family val="2"/>
          </rPr>
          <t>Solver found a solution. All constraints and optimality conditions are satisfied.</t>
        </r>
      </text>
    </comment>
    <comment ref="B19" authorId="0" shapeId="0" xr:uid="{E9F0EBB8-C6E6-46C5-A148-746101E4C923}">
      <text>
        <r>
          <rPr>
            <sz val="9"/>
            <color indexed="81"/>
            <rFont val="Tahoma"/>
            <family val="2"/>
          </rPr>
          <t>Solver found a solution. All constraints and optimality conditions are satisfied.</t>
        </r>
      </text>
    </comment>
    <comment ref="B20" authorId="0" shapeId="0" xr:uid="{880C9DBC-C2D7-4AAD-A7C6-8587096A231F}">
      <text>
        <r>
          <rPr>
            <sz val="9"/>
            <color indexed="81"/>
            <rFont val="Tahoma"/>
            <family val="2"/>
          </rPr>
          <t>Solver found a solution. All constraints and optimality conditions are satisfied.</t>
        </r>
      </text>
    </comment>
  </commentList>
</comments>
</file>

<file path=xl/sharedStrings.xml><?xml version="1.0" encoding="utf-8"?>
<sst xmlns="http://schemas.openxmlformats.org/spreadsheetml/2006/main" count="198" uniqueCount="120">
  <si>
    <t>Assembling and Testing Computers</t>
  </si>
  <si>
    <t>Cost per labor hour assembling</t>
  </si>
  <si>
    <t>Cost per labor hour testing</t>
  </si>
  <si>
    <t>Inputs for assembling and testing computers</t>
  </si>
  <si>
    <t>Basic</t>
  </si>
  <si>
    <t>XP</t>
  </si>
  <si>
    <t>Labor hours for assembly</t>
  </si>
  <si>
    <t xml:space="preserve">Labor hours for testing </t>
  </si>
  <si>
    <t>Cost of component parts</t>
  </si>
  <si>
    <t>Selling price</t>
  </si>
  <si>
    <t>Unit margin</t>
  </si>
  <si>
    <t>Assembling, testing plan (# of computers)</t>
  </si>
  <si>
    <t>Number to produce</t>
  </si>
  <si>
    <t>Max Sales</t>
  </si>
  <si>
    <t>Hours available for assembling</t>
  </si>
  <si>
    <t xml:space="preserve">Hourdavailable for testing </t>
  </si>
  <si>
    <t>Max Hours</t>
  </si>
  <si>
    <t>Net Profit</t>
  </si>
  <si>
    <t>Total</t>
  </si>
  <si>
    <t>Used</t>
  </si>
  <si>
    <t>Microsoft Excel 16.0 Sensitivity Report</t>
  </si>
  <si>
    <t>Variable Cells</t>
  </si>
  <si>
    <t>Cell</t>
  </si>
  <si>
    <t>Name</t>
  </si>
  <si>
    <t>Final</t>
  </si>
  <si>
    <t>Value</t>
  </si>
  <si>
    <t>Reduced</t>
  </si>
  <si>
    <t>Constraints</t>
  </si>
  <si>
    <t>Cost</t>
  </si>
  <si>
    <t>Objective</t>
  </si>
  <si>
    <t>Coefficient</t>
  </si>
  <si>
    <t>Allowable</t>
  </si>
  <si>
    <t>Increase</t>
  </si>
  <si>
    <t>Decrease</t>
  </si>
  <si>
    <t>Shadow</t>
  </si>
  <si>
    <t>Price</t>
  </si>
  <si>
    <t>Constraint</t>
  </si>
  <si>
    <t>R.H. Side</t>
  </si>
  <si>
    <t>VXP</t>
  </si>
  <si>
    <t>Oneway analysis for Solver model in 3.2 worksheet</t>
  </si>
  <si>
    <t>NumProduced_1</t>
  </si>
  <si>
    <t>NumProduced_2</t>
  </si>
  <si>
    <t>NumToProd3_2_3</t>
  </si>
  <si>
    <t>Data for chart</t>
  </si>
  <si>
    <t>$D$11</t>
  </si>
  <si>
    <t>$B$16:$D$16,$E$24</t>
  </si>
  <si>
    <t>Input</t>
  </si>
  <si>
    <t>Input (cell $D$11) values along side, output cell(s) along top</t>
  </si>
  <si>
    <t>TotalProfit</t>
  </si>
  <si>
    <t>Jordan Alloy Corporation</t>
  </si>
  <si>
    <t>Products</t>
  </si>
  <si>
    <t>Alloy W</t>
  </si>
  <si>
    <t>Alloy X</t>
  </si>
  <si>
    <t>Alloy Y</t>
  </si>
  <si>
    <t>Alloy Z</t>
  </si>
  <si>
    <t>Aluminum</t>
  </si>
  <si>
    <t>Copper</t>
  </si>
  <si>
    <t>Magnesium</t>
  </si>
  <si>
    <t xml:space="preserve">Price </t>
  </si>
  <si>
    <t>(per ton)</t>
  </si>
  <si>
    <t>Supply</t>
  </si>
  <si>
    <t>CX</t>
  </si>
  <si>
    <t>Revenue</t>
  </si>
  <si>
    <t># Produced</t>
  </si>
  <si>
    <t>AW</t>
  </si>
  <si>
    <t>AX</t>
  </si>
  <si>
    <t>AY</t>
  </si>
  <si>
    <t>AZ</t>
  </si>
  <si>
    <t>CW</t>
  </si>
  <si>
    <t>MW</t>
  </si>
  <si>
    <t>MX</t>
  </si>
  <si>
    <t>CY</t>
  </si>
  <si>
    <t>MY</t>
  </si>
  <si>
    <t>CZ</t>
  </si>
  <si>
    <t>MZ</t>
  </si>
  <si>
    <t>(.lb)</t>
  </si>
  <si>
    <t>$D$16</t>
  </si>
  <si>
    <t>Microsoft Excel 16.0 Answer Report</t>
  </si>
  <si>
    <t>Worksheet: [pelletier_m2.xlsx]Alloy</t>
  </si>
  <si>
    <t>Report Created: 7/14/2021 2:21:21 PM</t>
  </si>
  <si>
    <t>Result: Solver found a solution.  All Constraints and optimality conditions are satisfied.</t>
  </si>
  <si>
    <t>Solver Engine</t>
  </si>
  <si>
    <t>Engine: Simplex LP</t>
  </si>
  <si>
    <t>Solution Time: 0.016 Seconds.</t>
  </si>
  <si>
    <t>Iterations: 2 Subproblems: 4</t>
  </si>
  <si>
    <t>Solver Options</t>
  </si>
  <si>
    <t>Max Time Unlimited,  Iterations Unlimited, Precision 0.000001, Use Automatic Scaling</t>
  </si>
  <si>
    <t>Max Subproblems Unlimited, Max Integer Sols Unlimited, Integer Tolerance 1%, Assume NonNegative</t>
  </si>
  <si>
    <t>Objective Cell (Max)</t>
  </si>
  <si>
    <t>Original Value</t>
  </si>
  <si>
    <t>Final Value</t>
  </si>
  <si>
    <t>Integer</t>
  </si>
  <si>
    <t>Cell Value</t>
  </si>
  <si>
    <t>Formula</t>
  </si>
  <si>
    <t>Status</t>
  </si>
  <si>
    <t>Slack</t>
  </si>
  <si>
    <t>$B$29</t>
  </si>
  <si>
    <t>Revenue (Monthly Max)</t>
  </si>
  <si>
    <t>$D$14</t>
  </si>
  <si>
    <t>Alloy W # Produced</t>
  </si>
  <si>
    <t>$D$15</t>
  </si>
  <si>
    <t>Alloy X # Produced</t>
  </si>
  <si>
    <t>Alloy Y # Produced</t>
  </si>
  <si>
    <t>$D$17</t>
  </si>
  <si>
    <t>Alloy Z # Produced</t>
  </si>
  <si>
    <t>$C$20</t>
  </si>
  <si>
    <t>Aluminum Supply Used</t>
  </si>
  <si>
    <t>$C$20&lt;=$B$20</t>
  </si>
  <si>
    <t>Not Binding</t>
  </si>
  <si>
    <t>$C$21</t>
  </si>
  <si>
    <t>Copper Supply Used</t>
  </si>
  <si>
    <t>$C$21&lt;=$B$21</t>
  </si>
  <si>
    <t>$C$22</t>
  </si>
  <si>
    <t>Magnesium Supply Used</t>
  </si>
  <si>
    <t>$C$22&lt;=$B$22</t>
  </si>
  <si>
    <t>$D$14:$D$17=Integer</t>
  </si>
  <si>
    <t>Report Created: 7/14/2021 2:40:07 PM</t>
  </si>
  <si>
    <t>(monthly max)</t>
  </si>
  <si>
    <t>(supply used)</t>
  </si>
  <si>
    <t>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</si>
</sst>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b/>
      <sz val="11"/>
      <color indexed="18"/>
      <name val="Calibri"/>
      <family val="2"/>
      <scheme val="minor"/>
    </font>
    <font>
      <sz val="11"/>
      <color rgb="FFFFFFFF"/>
      <name val="Calibri"/>
      <family val="2"/>
      <scheme val="minor"/>
    </font>
    <font>
      <sz val="9"/>
      <color indexed="81"/>
      <name val="Tahoma"/>
      <family val="2"/>
    </font>
  </fonts>
  <fills count="7">
    <fill>
      <patternFill patternType="none"/>
    </fill>
    <fill>
      <patternFill patternType="gray125"/>
    </fill>
    <fill>
      <patternFill patternType="solid">
        <fgColor theme="4" tint="0.59999389629810485"/>
        <bgColor indexed="65"/>
      </patternFill>
    </fill>
    <fill>
      <patternFill patternType="solid">
        <fgColor theme="5" tint="0.59999389629810485"/>
        <bgColor indexed="65"/>
      </patternFill>
    </fill>
    <fill>
      <patternFill patternType="solid">
        <fgColor theme="7" tint="0.59999389629810485"/>
        <bgColor indexed="65"/>
      </patternFill>
    </fill>
    <fill>
      <patternFill patternType="solid">
        <fgColor theme="9" tint="0.59999389629810485"/>
        <bgColor indexed="65"/>
      </patternFill>
    </fill>
    <fill>
      <patternFill patternType="solid">
        <fgColor theme="9" tint="0.59999389629810485"/>
        <bgColor indexed="64"/>
      </patternFill>
    </fill>
  </fills>
  <borders count="14">
    <border>
      <left/>
      <right/>
      <top/>
      <bottom/>
      <diagonal/>
    </border>
    <border>
      <left/>
      <right/>
      <top style="medium">
        <color indexed="23"/>
      </top>
      <bottom/>
      <diagonal/>
    </border>
    <border>
      <left/>
      <right/>
      <top/>
      <bottom style="medium">
        <color indexed="23"/>
      </bottom>
      <diagonal/>
    </border>
    <border>
      <left/>
      <right/>
      <top style="thin">
        <color indexed="23"/>
      </top>
      <bottom/>
      <diagonal/>
    </border>
    <border>
      <left/>
      <right/>
      <top style="thin">
        <color indexed="23"/>
      </top>
      <bottom style="medium">
        <color indexed="23"/>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23"/>
      </top>
      <bottom style="medium">
        <color indexed="23"/>
      </bottom>
      <diagonal/>
    </border>
  </borders>
  <cellStyleXfs count="6">
    <xf numFmtId="0" fontId="0" fillId="0" borderId="0"/>
    <xf numFmtId="44"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42">
    <xf numFmtId="0" fontId="0" fillId="0" borderId="0" xfId="0"/>
    <xf numFmtId="0" fontId="2" fillId="0" borderId="0" xfId="0" applyFont="1"/>
    <xf numFmtId="164" fontId="0" fillId="0" borderId="0" xfId="1" applyNumberFormat="1" applyFont="1"/>
    <xf numFmtId="0" fontId="1" fillId="3" borderId="0" xfId="3"/>
    <xf numFmtId="164" fontId="1" fillId="3" borderId="0" xfId="3" applyNumberFormat="1"/>
    <xf numFmtId="0" fontId="1" fillId="2" borderId="0" xfId="2"/>
    <xf numFmtId="0" fontId="0" fillId="0" borderId="3" xfId="0" applyFill="1" applyBorder="1" applyAlignment="1"/>
    <xf numFmtId="0" fontId="0" fillId="0" borderId="4" xfId="0" applyFill="1" applyBorder="1" applyAlignment="1"/>
    <xf numFmtId="0" fontId="3" fillId="0" borderId="1" xfId="0" applyFont="1" applyFill="1" applyBorder="1" applyAlignment="1">
      <alignment horizontal="center"/>
    </xf>
    <xf numFmtId="0" fontId="3" fillId="0" borderId="2" xfId="0" applyFont="1" applyFill="1" applyBorder="1" applyAlignment="1">
      <alignment horizontal="center"/>
    </xf>
    <xf numFmtId="164" fontId="1" fillId="5" borderId="0" xfId="1" applyNumberFormat="1" applyFill="1"/>
    <xf numFmtId="0" fontId="1" fillId="0" borderId="0" xfId="3" applyFill="1"/>
    <xf numFmtId="1" fontId="1" fillId="2" borderId="0" xfId="2" applyNumberFormat="1"/>
    <xf numFmtId="49" fontId="0" fillId="0" borderId="0" xfId="0" applyNumberFormat="1"/>
    <xf numFmtId="0" fontId="0" fillId="0" borderId="0" xfId="0" applyAlignment="1">
      <alignment horizontal="right" textRotation="90"/>
    </xf>
    <xf numFmtId="0" fontId="0" fillId="6" borderId="0" xfId="0" applyFill="1" applyAlignment="1">
      <alignment horizontal="right" textRotation="90"/>
    </xf>
    <xf numFmtId="0" fontId="4" fillId="0" borderId="0" xfId="0" applyFont="1"/>
    <xf numFmtId="1" fontId="0" fillId="0" borderId="5" xfId="0" applyNumberFormat="1" applyBorder="1"/>
    <xf numFmtId="1" fontId="0" fillId="0" borderId="6" xfId="0" applyNumberFormat="1" applyBorder="1"/>
    <xf numFmtId="1" fontId="0" fillId="0" borderId="8" xfId="0" applyNumberFormat="1" applyBorder="1"/>
    <xf numFmtId="1" fontId="0" fillId="0" borderId="0" xfId="0" applyNumberFormat="1" applyBorder="1"/>
    <xf numFmtId="1" fontId="0" fillId="0" borderId="10" xfId="0" applyNumberFormat="1" applyBorder="1"/>
    <xf numFmtId="1" fontId="0" fillId="0" borderId="11" xfId="0" applyNumberFormat="1" applyBorder="1"/>
    <xf numFmtId="164" fontId="0" fillId="0" borderId="0" xfId="0" applyNumberFormat="1"/>
    <xf numFmtId="164" fontId="0" fillId="0" borderId="7" xfId="0" applyNumberFormat="1" applyBorder="1"/>
    <xf numFmtId="164" fontId="0" fillId="0" borderId="9" xfId="0" applyNumberFormat="1" applyBorder="1"/>
    <xf numFmtId="164" fontId="0" fillId="0" borderId="12" xfId="0" applyNumberFormat="1" applyBorder="1"/>
    <xf numFmtId="44" fontId="1" fillId="2" borderId="0" xfId="2" applyNumberFormat="1"/>
    <xf numFmtId="0" fontId="1" fillId="2" borderId="0" xfId="2" applyNumberFormat="1"/>
    <xf numFmtId="44" fontId="0" fillId="0" borderId="0" xfId="0" applyNumberFormat="1"/>
    <xf numFmtId="0" fontId="1" fillId="4" borderId="0" xfId="4"/>
    <xf numFmtId="44" fontId="1" fillId="5" borderId="0" xfId="5" applyNumberFormat="1"/>
    <xf numFmtId="0" fontId="1" fillId="0" borderId="0" xfId="2" applyFill="1"/>
    <xf numFmtId="0" fontId="1" fillId="2" borderId="0" xfId="2" applyBorder="1"/>
    <xf numFmtId="0" fontId="0" fillId="0" borderId="0" xfId="0" applyFill="1" applyBorder="1"/>
    <xf numFmtId="0" fontId="0" fillId="0" borderId="0" xfId="2" applyFont="1" applyFill="1" applyBorder="1"/>
    <xf numFmtId="0" fontId="0" fillId="0" borderId="0" xfId="2" applyFont="1" applyFill="1"/>
    <xf numFmtId="0" fontId="0" fillId="0" borderId="0" xfId="0" applyFont="1"/>
    <xf numFmtId="0" fontId="3" fillId="0" borderId="13" xfId="0" applyFont="1" applyFill="1" applyBorder="1" applyAlignment="1">
      <alignment horizontal="center"/>
    </xf>
    <xf numFmtId="44" fontId="0" fillId="0" borderId="4" xfId="0" applyNumberFormat="1" applyFill="1" applyBorder="1" applyAlignment="1"/>
    <xf numFmtId="0" fontId="0" fillId="0" borderId="3" xfId="0" applyNumberFormat="1" applyFill="1" applyBorder="1" applyAlignment="1"/>
    <xf numFmtId="0" fontId="0" fillId="0" borderId="4" xfId="0" applyNumberFormat="1" applyFill="1" applyBorder="1" applyAlignment="1"/>
  </cellXfs>
  <cellStyles count="6">
    <cellStyle name="40% - Accent1" xfId="2" builtinId="31"/>
    <cellStyle name="40% - Accent2" xfId="3" builtinId="35"/>
    <cellStyle name="40% - Accent4" xfId="4" builtinId="43"/>
    <cellStyle name="40% - Accent6" xfId="5" builtinId="51"/>
    <cellStyle name="Currency" xfId="1" builtinId="4"/>
    <cellStyle name="Normal" xfId="0" builtinId="0"/>
  </cellStyles>
  <dxfs count="4">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'Computer Sensitivity'!$K$1</c:f>
          <c:strCache>
            <c:ptCount val="1"/>
            <c:pt idx="0">
              <c:v>Sensitivity of NumToProd3_2_3 to Input</c:v>
            </c:pt>
          </c:strCache>
        </c:strRef>
      </c:tx>
      <c:overlay val="0"/>
      <c:txPr>
        <a:bodyPr/>
        <a:lstStyle/>
        <a:p>
          <a:pPr>
            <a:defRPr sz="1200"/>
          </a:pPr>
          <a:endParaRPr lang="en-US"/>
        </a:p>
      </c:txPr>
    </c:title>
    <c:autoTitleDeleted val="0"/>
    <c:plotArea>
      <c:layout/>
      <c:lineChart>
        <c:grouping val="standard"/>
        <c:varyColors val="0"/>
        <c:ser>
          <c:idx val="0"/>
          <c:order val="0"/>
          <c:cat>
            <c:numRef>
              <c:f>'Computer Sensitivity'!$A$5:$A$20</c:f>
              <c:numCache>
                <c:formatCode>_("$"* #,##0_);_("$"* \(#,##0\);_("$"* "-"??_);_(@_)</c:formatCode>
                <c:ptCount val="16"/>
                <c:pt idx="0">
                  <c:v>500</c:v>
                </c:pt>
                <c:pt idx="1">
                  <c:v>510</c:v>
                </c:pt>
                <c:pt idx="2">
                  <c:v>520</c:v>
                </c:pt>
                <c:pt idx="3">
                  <c:v>530</c:v>
                </c:pt>
                <c:pt idx="4">
                  <c:v>540</c:v>
                </c:pt>
                <c:pt idx="5">
                  <c:v>550</c:v>
                </c:pt>
                <c:pt idx="6">
                  <c:v>560</c:v>
                </c:pt>
                <c:pt idx="7">
                  <c:v>570</c:v>
                </c:pt>
                <c:pt idx="8">
                  <c:v>580</c:v>
                </c:pt>
                <c:pt idx="9">
                  <c:v>590</c:v>
                </c:pt>
                <c:pt idx="10">
                  <c:v>600</c:v>
                </c:pt>
                <c:pt idx="11">
                  <c:v>610</c:v>
                </c:pt>
                <c:pt idx="12">
                  <c:v>620</c:v>
                </c:pt>
                <c:pt idx="13">
                  <c:v>630</c:v>
                </c:pt>
                <c:pt idx="14">
                  <c:v>640</c:v>
                </c:pt>
                <c:pt idx="15">
                  <c:v>650</c:v>
                </c:pt>
              </c:numCache>
            </c:numRef>
          </c:cat>
          <c:val>
            <c:numRef>
              <c:f>'Computer Sensitivity'!$K$5:$K$20</c:f>
              <c:numCache>
                <c:formatCode>General</c:formatCode>
                <c:ptCount val="16"/>
                <c:pt idx="0">
                  <c:v>0</c:v>
                </c:pt>
                <c:pt idx="1">
                  <c:v>0</c:v>
                </c:pt>
                <c:pt idx="2">
                  <c:v>0</c:v>
                </c:pt>
                <c:pt idx="3">
                  <c:v>0</c:v>
                </c:pt>
                <c:pt idx="4">
                  <c:v>28.571428571428573</c:v>
                </c:pt>
                <c:pt idx="5">
                  <c:v>28.571428571428573</c:v>
                </c:pt>
                <c:pt idx="6">
                  <c:v>28.571428571428573</c:v>
                </c:pt>
                <c:pt idx="7">
                  <c:v>28.571428571428569</c:v>
                </c:pt>
                <c:pt idx="8">
                  <c:v>28.571428571428569</c:v>
                </c:pt>
                <c:pt idx="9">
                  <c:v>28.571428571428569</c:v>
                </c:pt>
                <c:pt idx="10">
                  <c:v>50</c:v>
                </c:pt>
                <c:pt idx="11">
                  <c:v>50</c:v>
                </c:pt>
                <c:pt idx="12">
                  <c:v>50</c:v>
                </c:pt>
                <c:pt idx="13">
                  <c:v>50</c:v>
                </c:pt>
                <c:pt idx="14">
                  <c:v>50</c:v>
                </c:pt>
                <c:pt idx="15">
                  <c:v>50</c:v>
                </c:pt>
              </c:numCache>
            </c:numRef>
          </c:val>
          <c:smooth val="0"/>
          <c:extLst>
            <c:ext xmlns:c16="http://schemas.microsoft.com/office/drawing/2014/chart" uri="{C3380CC4-5D6E-409C-BE32-E72D297353CC}">
              <c16:uniqueId val="{00000001-4448-41F3-88DC-F5A1DAC68219}"/>
            </c:ext>
          </c:extLst>
        </c:ser>
        <c:dLbls>
          <c:showLegendKey val="0"/>
          <c:showVal val="0"/>
          <c:showCatName val="0"/>
          <c:showSerName val="0"/>
          <c:showPercent val="0"/>
          <c:showBubbleSize val="0"/>
        </c:dLbls>
        <c:marker val="1"/>
        <c:smooth val="0"/>
        <c:axId val="1570238256"/>
        <c:axId val="1570233264"/>
      </c:lineChart>
      <c:catAx>
        <c:axId val="1570238256"/>
        <c:scaling>
          <c:orientation val="minMax"/>
        </c:scaling>
        <c:delete val="0"/>
        <c:axPos val="b"/>
        <c:title>
          <c:tx>
            <c:rich>
              <a:bodyPr/>
              <a:lstStyle/>
              <a:p>
                <a:pPr>
                  <a:defRPr/>
                </a:pPr>
                <a:r>
                  <a:rPr lang="en-US"/>
                  <a:t>Input ($D$11)</a:t>
                </a:r>
              </a:p>
            </c:rich>
          </c:tx>
          <c:overlay val="0"/>
        </c:title>
        <c:numFmt formatCode="_(&quot;$&quot;* #,##0_);_(&quot;$&quot;* \(#,##0\);_(&quot;$&quot;* &quot;-&quot;??_);_(@_)" sourceLinked="1"/>
        <c:majorTickMark val="out"/>
        <c:minorTickMark val="none"/>
        <c:tickLblPos val="nextTo"/>
        <c:crossAx val="1570233264"/>
        <c:crosses val="autoZero"/>
        <c:auto val="1"/>
        <c:lblAlgn val="ctr"/>
        <c:lblOffset val="100"/>
        <c:noMultiLvlLbl val="0"/>
      </c:catAx>
      <c:valAx>
        <c:axId val="1570233264"/>
        <c:scaling>
          <c:orientation val="minMax"/>
        </c:scaling>
        <c:delete val="0"/>
        <c:axPos val="l"/>
        <c:majorGridlines/>
        <c:numFmt formatCode="General" sourceLinked="1"/>
        <c:majorTickMark val="out"/>
        <c:minorTickMark val="none"/>
        <c:tickLblPos val="nextTo"/>
        <c:crossAx val="1570238256"/>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670560</xdr:colOff>
      <xdr:row>1</xdr:row>
      <xdr:rowOff>15240</xdr:rowOff>
    </xdr:from>
    <xdr:to>
      <xdr:col>9</xdr:col>
      <xdr:colOff>205740</xdr:colOff>
      <xdr:row>16</xdr:row>
      <xdr:rowOff>38100</xdr:rowOff>
    </xdr:to>
    <xdr:sp macro="" textlink="">
      <xdr:nvSpPr>
        <xdr:cNvPr id="2" name="TextBox 1">
          <a:extLst>
            <a:ext uri="{FF2B5EF4-FFF2-40B4-BE49-F238E27FC236}">
              <a16:creationId xmlns:a16="http://schemas.microsoft.com/office/drawing/2014/main" id="{44E461F2-94B5-4835-B7FB-88AC9FC0C27A}"/>
            </a:ext>
          </a:extLst>
        </xdr:cNvPr>
        <xdr:cNvSpPr txBox="1"/>
      </xdr:nvSpPr>
      <xdr:spPr>
        <a:xfrm>
          <a:off x="5166360" y="198120"/>
          <a:ext cx="2804160" cy="2766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After</a:t>
          </a:r>
          <a:r>
            <a:rPr lang="en-US" sz="1100" baseline="0"/>
            <a:t> running solver, I came up with an optimal solution that resulted in two non-integer values in the "Basic" and "VXP" decision variable. I manually  rouned both, Basic rounded down, however VXP rounded up and this led to the solution becoming infeasible as our labor hours now exceed the constraint. If we wanted to obtain a solution that is atleast close to the optimal solution we could either round both non-integer decision variables down, or as discussed in the lecture, to most models, there are multiple optimal solutions, so we could find another by visually graphing our feasible region and trying new points.</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670560</xdr:colOff>
      <xdr:row>1</xdr:row>
      <xdr:rowOff>15240</xdr:rowOff>
    </xdr:from>
    <xdr:to>
      <xdr:col>9</xdr:col>
      <xdr:colOff>205740</xdr:colOff>
      <xdr:row>11</xdr:row>
      <xdr:rowOff>53340</xdr:rowOff>
    </xdr:to>
    <xdr:sp macro="" textlink="">
      <xdr:nvSpPr>
        <xdr:cNvPr id="2" name="TextBox 1">
          <a:extLst>
            <a:ext uri="{FF2B5EF4-FFF2-40B4-BE49-F238E27FC236}">
              <a16:creationId xmlns:a16="http://schemas.microsoft.com/office/drawing/2014/main" id="{4A32E050-5E3B-4EDF-B4DD-1436B1CE78C3}"/>
            </a:ext>
          </a:extLst>
        </xdr:cNvPr>
        <xdr:cNvSpPr txBox="1"/>
      </xdr:nvSpPr>
      <xdr:spPr>
        <a:xfrm>
          <a:off x="5166360" y="198120"/>
          <a:ext cx="2804160" cy="1866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So,</a:t>
          </a:r>
          <a:r>
            <a:rPr lang="en-US" sz="1100" baseline="0"/>
            <a:t> in problem two the original decision variables came out as decimals where the used hours came out exactly to the maximum. For this problem, the decision variables are rounded down, due to the hour constrain and the integer constraint. This leads to a very small decrease in the objective variable. Displayed on my 3.2 model is what the integer constraint would do without the hour constraint.</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11</xdr:col>
      <xdr:colOff>251460</xdr:colOff>
      <xdr:row>4</xdr:row>
      <xdr:rowOff>15240</xdr:rowOff>
    </xdr:from>
    <xdr:to>
      <xdr:col>21</xdr:col>
      <xdr:colOff>68580</xdr:colOff>
      <xdr:row>22</xdr:row>
      <xdr:rowOff>22860</xdr:rowOff>
    </xdr:to>
    <xdr:graphicFrame macro="">
      <xdr:nvGraphicFramePr>
        <xdr:cNvPr id="2" name="STS_1_Chart">
          <a:extLst>
            <a:ext uri="{FF2B5EF4-FFF2-40B4-BE49-F238E27FC236}">
              <a16:creationId xmlns:a16="http://schemas.microsoft.com/office/drawing/2014/main" id="{0162900D-587F-4B71-811E-FF11F94E72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11</xdr:col>
      <xdr:colOff>563880</xdr:colOff>
      <xdr:row>3</xdr:row>
      <xdr:rowOff>22860</xdr:rowOff>
    </xdr:from>
    <xdr:to>
      <xdr:col>15</xdr:col>
      <xdr:colOff>563880</xdr:colOff>
      <xdr:row>3</xdr:row>
      <xdr:rowOff>784860</xdr:rowOff>
    </xdr:to>
    <xdr:sp macro="" textlink="">
      <xdr:nvSpPr>
        <xdr:cNvPr id="3" name="TextBox 2">
          <a:extLst>
            <a:ext uri="{FF2B5EF4-FFF2-40B4-BE49-F238E27FC236}">
              <a16:creationId xmlns:a16="http://schemas.microsoft.com/office/drawing/2014/main" id="{F527D793-3CF6-4C50-AAAF-2315EFCF7456}"/>
            </a:ext>
          </a:extLst>
        </xdr:cNvPr>
        <xdr:cNvSpPr txBox="1"/>
      </xdr:nvSpPr>
      <xdr:spPr>
        <a:xfrm>
          <a:off x="7315200" y="571500"/>
          <a:ext cx="2438400" cy="762000"/>
        </a:xfrm>
        <a:prstGeom prst="rect">
          <a:avLst/>
        </a:prstGeom>
        <a:solidFill>
          <a:schemeClr val="lt1"/>
        </a:solidFill>
        <a:ln w="15875" cap="flat" cmpd="sng" algn="ctr">
          <a:solidFill>
            <a:schemeClr val="accent1">
              <a:lumMod val="10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When you select an output from the dropdown list in cell $K$4, the chart will adapt to that output.</a:t>
          </a:r>
        </a:p>
      </xdr:txBody>
    </xdr:sp>
    <xdr:clientData/>
  </xdr:twoCellAnchor>
  <xdr:twoCellAnchor>
    <xdr:from>
      <xdr:col>5</xdr:col>
      <xdr:colOff>68580</xdr:colOff>
      <xdr:row>4</xdr:row>
      <xdr:rowOff>30480</xdr:rowOff>
    </xdr:from>
    <xdr:to>
      <xdr:col>9</xdr:col>
      <xdr:colOff>548640</xdr:colOff>
      <xdr:row>17</xdr:row>
      <xdr:rowOff>60960</xdr:rowOff>
    </xdr:to>
    <xdr:sp macro="" textlink="">
      <xdr:nvSpPr>
        <xdr:cNvPr id="4" name="TextBox 3">
          <a:extLst>
            <a:ext uri="{FF2B5EF4-FFF2-40B4-BE49-F238E27FC236}">
              <a16:creationId xmlns:a16="http://schemas.microsoft.com/office/drawing/2014/main" id="{7599A856-6FAF-490B-BC1A-2209B2C83F23}"/>
            </a:ext>
          </a:extLst>
        </xdr:cNvPr>
        <xdr:cNvSpPr txBox="1"/>
      </xdr:nvSpPr>
      <xdr:spPr>
        <a:xfrm>
          <a:off x="3162300" y="1661160"/>
          <a:ext cx="2918460" cy="2407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With the XRP Price range</a:t>
          </a:r>
          <a:r>
            <a:rPr lang="en-US" sz="1100" baseline="0"/>
            <a:t> and increment changes requested in the problem, I found that there are three production levels within that range for that computer. While the price is between $500-$530 it is best to not produce any and primarily produce XPs and Basics. From $540-$590 it is best to produce 29 XRPs and sell less Basics while keeping XPs at the same level a before. Lastly, at $600-$650 it is best to produce the ,aximum amount of XRPs by allocating production from the XPs. The last level of production for XRP (where the price is highest) is the most profitable level.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205740</xdr:colOff>
      <xdr:row>18</xdr:row>
      <xdr:rowOff>0</xdr:rowOff>
    </xdr:from>
    <xdr:to>
      <xdr:col>7</xdr:col>
      <xdr:colOff>434340</xdr:colOff>
      <xdr:row>29</xdr:row>
      <xdr:rowOff>137160</xdr:rowOff>
    </xdr:to>
    <xdr:sp macro="" textlink="">
      <xdr:nvSpPr>
        <xdr:cNvPr id="2" name="TextBox 1">
          <a:extLst>
            <a:ext uri="{FF2B5EF4-FFF2-40B4-BE49-F238E27FC236}">
              <a16:creationId xmlns:a16="http://schemas.microsoft.com/office/drawing/2014/main" id="{0D375F04-5402-4549-B4DC-418759584370}"/>
            </a:ext>
          </a:extLst>
        </xdr:cNvPr>
        <xdr:cNvSpPr txBox="1"/>
      </xdr:nvSpPr>
      <xdr:spPr>
        <a:xfrm>
          <a:off x="4152900" y="3291840"/>
          <a:ext cx="3886200" cy="2148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Solver suggests that Jordan</a:t>
          </a:r>
          <a:r>
            <a:rPr lang="en-US" sz="1100" baseline="0"/>
            <a:t> Alloy Corp should produce only Alloy X and Alloy Z  in order to gain most profit. In order to do this they  bind their Copper and Magnesium monthly supply however aluminum is non-binding. Since, the optimal solution results in having excess aluminum each month, I would suggest lowering our monthly aluminum supply to cut on potentially carrying costs. Looking at the shadow price of copper and magnesium it would be extremely beneficial to invest in a higher monthly supply of both copper and magnesium (especially copper) as the shadow price of copper is $315 and shadow price of magnesium is nearly $31 per month. Doing this would allow us to use more aluminum.</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AD81F-73E7-4933-A450-71AEE9B4766B}">
  <dimension ref="A1:E24"/>
  <sheetViews>
    <sheetView tabSelected="1" workbookViewId="0">
      <selection activeCell="D21" sqref="D21"/>
    </sheetView>
  </sheetViews>
  <sheetFormatPr defaultRowHeight="14.4" x14ac:dyDescent="0.3"/>
  <cols>
    <col min="1" max="1" width="35.5546875" customWidth="1"/>
    <col min="2" max="2" width="11.109375" bestFit="1" customWidth="1"/>
    <col min="3" max="4" width="9.44140625" customWidth="1"/>
    <col min="5" max="5" width="12.109375" bestFit="1" customWidth="1"/>
  </cols>
  <sheetData>
    <row r="1" spans="1:4" x14ac:dyDescent="0.3">
      <c r="A1" s="1" t="s">
        <v>0</v>
      </c>
    </row>
    <row r="3" spans="1:4" x14ac:dyDescent="0.3">
      <c r="A3" t="s">
        <v>1</v>
      </c>
      <c r="B3" s="4">
        <v>11</v>
      </c>
    </row>
    <row r="4" spans="1:4" x14ac:dyDescent="0.3">
      <c r="A4" t="s">
        <v>2</v>
      </c>
      <c r="B4" s="4">
        <v>15</v>
      </c>
    </row>
    <row r="6" spans="1:4" x14ac:dyDescent="0.3">
      <c r="A6" t="s">
        <v>3</v>
      </c>
    </row>
    <row r="7" spans="1:4" x14ac:dyDescent="0.3">
      <c r="B7" t="s">
        <v>4</v>
      </c>
      <c r="C7" t="s">
        <v>5</v>
      </c>
      <c r="D7" t="s">
        <v>38</v>
      </c>
    </row>
    <row r="8" spans="1:4" x14ac:dyDescent="0.3">
      <c r="A8" t="s">
        <v>6</v>
      </c>
      <c r="B8" s="3">
        <v>5</v>
      </c>
      <c r="C8" s="3">
        <v>6</v>
      </c>
      <c r="D8" s="3">
        <v>8</v>
      </c>
    </row>
    <row r="9" spans="1:4" x14ac:dyDescent="0.3">
      <c r="A9" t="s">
        <v>7</v>
      </c>
      <c r="B9" s="3">
        <v>1</v>
      </c>
      <c r="C9" s="3">
        <v>2</v>
      </c>
      <c r="D9" s="3">
        <v>3</v>
      </c>
    </row>
    <row r="10" spans="1:4" x14ac:dyDescent="0.3">
      <c r="A10" t="s">
        <v>8</v>
      </c>
      <c r="B10" s="4">
        <v>150</v>
      </c>
      <c r="C10" s="4">
        <v>225</v>
      </c>
      <c r="D10" s="4">
        <v>275</v>
      </c>
    </row>
    <row r="11" spans="1:4" x14ac:dyDescent="0.3">
      <c r="A11" t="s">
        <v>9</v>
      </c>
      <c r="B11" s="4">
        <v>300</v>
      </c>
      <c r="C11" s="4">
        <v>450</v>
      </c>
      <c r="D11" s="4">
        <v>560</v>
      </c>
    </row>
    <row r="12" spans="1:4" x14ac:dyDescent="0.3">
      <c r="A12" t="s">
        <v>10</v>
      </c>
      <c r="B12" s="2">
        <f>B11-B10-B8*$B$3-B9*$B$4</f>
        <v>80</v>
      </c>
      <c r="C12" s="2">
        <f>C11-C10-C8*$B$3-C9*$B$4</f>
        <v>129</v>
      </c>
      <c r="D12" s="2">
        <f>D11-D10-D8*$B$3-D9*$B$4</f>
        <v>152</v>
      </c>
    </row>
    <row r="14" spans="1:4" x14ac:dyDescent="0.3">
      <c r="A14" t="s">
        <v>11</v>
      </c>
    </row>
    <row r="15" spans="1:4" x14ac:dyDescent="0.3">
      <c r="B15" t="s">
        <v>4</v>
      </c>
      <c r="C15" t="s">
        <v>5</v>
      </c>
      <c r="D15" t="s">
        <v>38</v>
      </c>
    </row>
    <row r="16" spans="1:4" x14ac:dyDescent="0.3">
      <c r="A16" t="s">
        <v>12</v>
      </c>
      <c r="B16" s="12">
        <v>514</v>
      </c>
      <c r="C16" s="12">
        <v>1200</v>
      </c>
      <c r="D16" s="12">
        <v>29</v>
      </c>
    </row>
    <row r="17" spans="1:5" x14ac:dyDescent="0.3">
      <c r="A17" t="s">
        <v>13</v>
      </c>
      <c r="B17" s="3">
        <v>600</v>
      </c>
      <c r="C17" s="3">
        <v>1200</v>
      </c>
      <c r="D17" s="3">
        <v>50</v>
      </c>
    </row>
    <row r="19" spans="1:5" x14ac:dyDescent="0.3">
      <c r="B19" t="s">
        <v>19</v>
      </c>
      <c r="C19" t="s">
        <v>16</v>
      </c>
    </row>
    <row r="20" spans="1:5" x14ac:dyDescent="0.3">
      <c r="A20" t="s">
        <v>14</v>
      </c>
      <c r="B20">
        <f>B8*B16+C8*C16+VXPAssReq*D16</f>
        <v>10002</v>
      </c>
      <c r="C20" s="3">
        <v>10000</v>
      </c>
      <c r="D20" s="11"/>
    </row>
    <row r="21" spans="1:5" x14ac:dyDescent="0.3">
      <c r="A21" t="s">
        <v>15</v>
      </c>
      <c r="B21">
        <f>B9*B16+C9*C16+VXPTestReq*D16</f>
        <v>3001</v>
      </c>
      <c r="C21" s="3">
        <v>3000</v>
      </c>
      <c r="D21" s="11"/>
    </row>
    <row r="23" spans="1:5" x14ac:dyDescent="0.3">
      <c r="A23" t="s">
        <v>17</v>
      </c>
      <c r="B23" t="s">
        <v>4</v>
      </c>
      <c r="C23" t="s">
        <v>5</v>
      </c>
      <c r="D23" t="s">
        <v>38</v>
      </c>
      <c r="E23" t="s">
        <v>18</v>
      </c>
    </row>
    <row r="24" spans="1:5" x14ac:dyDescent="0.3">
      <c r="B24" s="2">
        <f>BasicMargin*B16</f>
        <v>41120</v>
      </c>
      <c r="C24" s="2">
        <f>XPMargin*C16</f>
        <v>154800</v>
      </c>
      <c r="D24" s="2">
        <f>VXPMargin*D16</f>
        <v>4408</v>
      </c>
      <c r="E24" s="10">
        <f>B24+C24+D24</f>
        <v>200328</v>
      </c>
    </row>
  </sheetData>
  <conditionalFormatting sqref="B20">
    <cfRule type="cellIs" dxfId="3" priority="2" operator="greaterThan">
      <formula>10000</formula>
    </cfRule>
  </conditionalFormatting>
  <conditionalFormatting sqref="B21">
    <cfRule type="cellIs" dxfId="2" priority="1" operator="greaterThan">
      <formula>3000</formula>
    </cfRule>
  </conditionalFormatting>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E01E4-BB8E-4AD4-B39D-9039B75F1D25}">
  <dimension ref="A1:E24"/>
  <sheetViews>
    <sheetView workbookViewId="0">
      <selection activeCell="B21" sqref="B21"/>
    </sheetView>
  </sheetViews>
  <sheetFormatPr defaultRowHeight="14.4" x14ac:dyDescent="0.3"/>
  <cols>
    <col min="1" max="1" width="35.5546875" customWidth="1"/>
    <col min="2" max="2" width="11.109375" bestFit="1" customWidth="1"/>
    <col min="3" max="4" width="9.44140625" customWidth="1"/>
    <col min="5" max="5" width="12.109375" bestFit="1" customWidth="1"/>
  </cols>
  <sheetData>
    <row r="1" spans="1:4" x14ac:dyDescent="0.3">
      <c r="A1" s="1" t="s">
        <v>0</v>
      </c>
    </row>
    <row r="3" spans="1:4" x14ac:dyDescent="0.3">
      <c r="A3" t="s">
        <v>1</v>
      </c>
      <c r="B3" s="4">
        <v>11</v>
      </c>
    </row>
    <row r="4" spans="1:4" x14ac:dyDescent="0.3">
      <c r="A4" t="s">
        <v>2</v>
      </c>
      <c r="B4" s="4">
        <v>15</v>
      </c>
    </row>
    <row r="6" spans="1:4" x14ac:dyDescent="0.3">
      <c r="A6" t="s">
        <v>3</v>
      </c>
    </row>
    <row r="7" spans="1:4" x14ac:dyDescent="0.3">
      <c r="B7" t="s">
        <v>4</v>
      </c>
      <c r="C7" t="s">
        <v>5</v>
      </c>
      <c r="D7" t="s">
        <v>38</v>
      </c>
    </row>
    <row r="8" spans="1:4" x14ac:dyDescent="0.3">
      <c r="A8" t="s">
        <v>6</v>
      </c>
      <c r="B8" s="3">
        <v>5</v>
      </c>
      <c r="C8" s="3">
        <v>6</v>
      </c>
      <c r="D8" s="3">
        <v>8</v>
      </c>
    </row>
    <row r="9" spans="1:4" x14ac:dyDescent="0.3">
      <c r="A9" t="s">
        <v>7</v>
      </c>
      <c r="B9" s="3">
        <v>1</v>
      </c>
      <c r="C9" s="3">
        <v>2</v>
      </c>
      <c r="D9" s="3">
        <v>3</v>
      </c>
    </row>
    <row r="10" spans="1:4" x14ac:dyDescent="0.3">
      <c r="A10" t="s">
        <v>8</v>
      </c>
      <c r="B10" s="4">
        <v>150</v>
      </c>
      <c r="C10" s="4">
        <v>225</v>
      </c>
      <c r="D10" s="4">
        <v>275</v>
      </c>
    </row>
    <row r="11" spans="1:4" x14ac:dyDescent="0.3">
      <c r="A11" t="s">
        <v>9</v>
      </c>
      <c r="B11" s="4">
        <v>300</v>
      </c>
      <c r="C11" s="4">
        <v>450</v>
      </c>
      <c r="D11" s="4">
        <v>560</v>
      </c>
    </row>
    <row r="12" spans="1:4" x14ac:dyDescent="0.3">
      <c r="A12" t="s">
        <v>10</v>
      </c>
      <c r="B12" s="2">
        <f>B11-B10-B8*$B$3-B9*$B$4</f>
        <v>80</v>
      </c>
      <c r="C12" s="2">
        <f>C11-C10-C8*$B$3-C9*$B$4</f>
        <v>129</v>
      </c>
      <c r="D12" s="2">
        <f>D11-D10-D8*$B$3-D9*$B$4</f>
        <v>152</v>
      </c>
    </row>
    <row r="14" spans="1:4" x14ac:dyDescent="0.3">
      <c r="A14" t="s">
        <v>11</v>
      </c>
    </row>
    <row r="15" spans="1:4" x14ac:dyDescent="0.3">
      <c r="B15" t="s">
        <v>4</v>
      </c>
      <c r="C15" t="s">
        <v>5</v>
      </c>
      <c r="D15" t="s">
        <v>38</v>
      </c>
    </row>
    <row r="16" spans="1:4" x14ac:dyDescent="0.3">
      <c r="A16" t="s">
        <v>12</v>
      </c>
      <c r="B16" s="12">
        <v>514</v>
      </c>
      <c r="C16" s="12">
        <v>1200</v>
      </c>
      <c r="D16" s="12">
        <v>28</v>
      </c>
    </row>
    <row r="17" spans="1:5" x14ac:dyDescent="0.3">
      <c r="A17" t="s">
        <v>13</v>
      </c>
      <c r="B17" s="3">
        <v>600</v>
      </c>
      <c r="C17" s="3">
        <v>1200</v>
      </c>
      <c r="D17" s="3">
        <v>50</v>
      </c>
    </row>
    <row r="19" spans="1:5" x14ac:dyDescent="0.3">
      <c r="B19" t="s">
        <v>19</v>
      </c>
      <c r="C19" t="s">
        <v>16</v>
      </c>
    </row>
    <row r="20" spans="1:5" x14ac:dyDescent="0.3">
      <c r="A20" t="s">
        <v>14</v>
      </c>
      <c r="B20">
        <f>B8*B16+C8*C16+VXPAssReq*D16</f>
        <v>9994</v>
      </c>
      <c r="C20" s="3">
        <v>10000</v>
      </c>
      <c r="D20" s="11"/>
    </row>
    <row r="21" spans="1:5" x14ac:dyDescent="0.3">
      <c r="A21" t="s">
        <v>15</v>
      </c>
      <c r="B21">
        <f>B9*B16+C9*C16+VXPTestReq*D16</f>
        <v>2998</v>
      </c>
      <c r="C21" s="3">
        <v>3000</v>
      </c>
      <c r="D21" s="11"/>
    </row>
    <row r="23" spans="1:5" x14ac:dyDescent="0.3">
      <c r="A23" t="s">
        <v>17</v>
      </c>
      <c r="B23" t="s">
        <v>4</v>
      </c>
      <c r="C23" t="s">
        <v>5</v>
      </c>
      <c r="D23" t="s">
        <v>38</v>
      </c>
      <c r="E23" t="s">
        <v>18</v>
      </c>
    </row>
    <row r="24" spans="1:5" x14ac:dyDescent="0.3">
      <c r="B24" s="2">
        <f>BasicMargin*B16</f>
        <v>41120</v>
      </c>
      <c r="C24" s="2">
        <f>XPMargin*C16</f>
        <v>154800</v>
      </c>
      <c r="D24" s="2">
        <f>VXPMargin*D16</f>
        <v>4256</v>
      </c>
      <c r="E24" s="10">
        <f>B24+C24+D24</f>
        <v>200176</v>
      </c>
    </row>
  </sheetData>
  <conditionalFormatting sqref="B20">
    <cfRule type="cellIs" dxfId="1" priority="2" operator="lessThan">
      <formula>10000</formula>
    </cfRule>
  </conditionalFormatting>
  <conditionalFormatting sqref="B21">
    <cfRule type="cellIs" dxfId="0" priority="1" operator="lessThan">
      <formula>3000</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A56FE-2023-4D0E-B044-78D0F620FC47}">
  <dimension ref="A1:K20"/>
  <sheetViews>
    <sheetView workbookViewId="0">
      <selection activeCell="I22" sqref="I22"/>
    </sheetView>
  </sheetViews>
  <sheetFormatPr defaultRowHeight="14.4" x14ac:dyDescent="0.3"/>
  <cols>
    <col min="5" max="5" width="9.5546875" bestFit="1" customWidth="1"/>
  </cols>
  <sheetData>
    <row r="1" spans="1:11" x14ac:dyDescent="0.3">
      <c r="A1" s="1" t="s">
        <v>39</v>
      </c>
      <c r="K1" s="16" t="str">
        <f>CONCATENATE("Sensitivity of ",$K$4," to ","Input")</f>
        <v>Sensitivity of NumToProd3_2_3 to Input</v>
      </c>
    </row>
    <row r="3" spans="1:11" x14ac:dyDescent="0.3">
      <c r="A3" t="s">
        <v>47</v>
      </c>
      <c r="K3" t="s">
        <v>43</v>
      </c>
    </row>
    <row r="4" spans="1:11" ht="85.2" x14ac:dyDescent="0.3">
      <c r="B4" s="14" t="s">
        <v>40</v>
      </c>
      <c r="C4" s="14" t="s">
        <v>41</v>
      </c>
      <c r="D4" s="14" t="s">
        <v>42</v>
      </c>
      <c r="E4" s="14" t="s">
        <v>48</v>
      </c>
      <c r="J4" s="16">
        <f>MATCH($K$4,OutputAddresses,0)</f>
        <v>3</v>
      </c>
      <c r="K4" s="15" t="s">
        <v>42</v>
      </c>
    </row>
    <row r="5" spans="1:11" x14ac:dyDescent="0.3">
      <c r="A5" s="23">
        <v>500</v>
      </c>
      <c r="B5" s="17">
        <v>560</v>
      </c>
      <c r="C5" s="18">
        <v>1200</v>
      </c>
      <c r="D5" s="18">
        <v>0</v>
      </c>
      <c r="E5" s="24">
        <v>199600</v>
      </c>
      <c r="K5">
        <f>INDEX(OutputValues,1,$J$4)</f>
        <v>0</v>
      </c>
    </row>
    <row r="6" spans="1:11" x14ac:dyDescent="0.3">
      <c r="A6" s="23">
        <v>510</v>
      </c>
      <c r="B6" s="19">
        <v>560</v>
      </c>
      <c r="C6" s="20">
        <v>1200</v>
      </c>
      <c r="D6" s="20">
        <v>0</v>
      </c>
      <c r="E6" s="25">
        <v>199600</v>
      </c>
      <c r="K6">
        <f>INDEX(OutputValues,2,$J$4)</f>
        <v>0</v>
      </c>
    </row>
    <row r="7" spans="1:11" x14ac:dyDescent="0.3">
      <c r="A7" s="23">
        <v>520</v>
      </c>
      <c r="B7" s="19">
        <v>560</v>
      </c>
      <c r="C7" s="20">
        <v>1200</v>
      </c>
      <c r="D7" s="20">
        <v>0</v>
      </c>
      <c r="E7" s="25">
        <v>199600</v>
      </c>
      <c r="K7">
        <f>INDEX(OutputValues,3,$J$4)</f>
        <v>0</v>
      </c>
    </row>
    <row r="8" spans="1:11" x14ac:dyDescent="0.3">
      <c r="A8" s="23">
        <v>530</v>
      </c>
      <c r="B8" s="19">
        <v>560</v>
      </c>
      <c r="C8" s="20">
        <v>1200</v>
      </c>
      <c r="D8" s="20">
        <v>0</v>
      </c>
      <c r="E8" s="25">
        <v>199600</v>
      </c>
      <c r="K8">
        <f>INDEX(OutputValues,4,$J$4)</f>
        <v>0</v>
      </c>
    </row>
    <row r="9" spans="1:11" x14ac:dyDescent="0.3">
      <c r="A9" s="23">
        <v>540</v>
      </c>
      <c r="B9" s="19">
        <v>514.28571428571422</v>
      </c>
      <c r="C9" s="20">
        <v>1200</v>
      </c>
      <c r="D9" s="20">
        <v>28.571428571428573</v>
      </c>
      <c r="E9" s="25">
        <v>199714.29</v>
      </c>
      <c r="K9">
        <f>INDEX(OutputValues,5,$J$4)</f>
        <v>28.571428571428573</v>
      </c>
    </row>
    <row r="10" spans="1:11" x14ac:dyDescent="0.3">
      <c r="A10" s="23">
        <v>550</v>
      </c>
      <c r="B10" s="19">
        <v>514.28571428571422</v>
      </c>
      <c r="C10" s="20">
        <v>1200</v>
      </c>
      <c r="D10" s="20">
        <v>28.571428571428573</v>
      </c>
      <c r="E10" s="25">
        <v>200000</v>
      </c>
      <c r="K10">
        <f>INDEX(OutputValues,6,$J$4)</f>
        <v>28.571428571428573</v>
      </c>
    </row>
    <row r="11" spans="1:11" x14ac:dyDescent="0.3">
      <c r="A11" s="23">
        <v>560</v>
      </c>
      <c r="B11" s="19">
        <v>514.28571428571422</v>
      </c>
      <c r="C11" s="20">
        <v>1200</v>
      </c>
      <c r="D11" s="20">
        <v>28.571428571428573</v>
      </c>
      <c r="E11" s="25">
        <v>200285.71</v>
      </c>
      <c r="K11">
        <f>INDEX(OutputValues,7,$J$4)</f>
        <v>28.571428571428573</v>
      </c>
    </row>
    <row r="12" spans="1:11" x14ac:dyDescent="0.3">
      <c r="A12" s="23">
        <v>570</v>
      </c>
      <c r="B12" s="19">
        <v>514.28571428571433</v>
      </c>
      <c r="C12" s="20">
        <v>1200</v>
      </c>
      <c r="D12" s="20">
        <v>28.571428571428569</v>
      </c>
      <c r="E12" s="25">
        <v>200571.43</v>
      </c>
      <c r="K12">
        <f>INDEX(OutputValues,8,$J$4)</f>
        <v>28.571428571428569</v>
      </c>
    </row>
    <row r="13" spans="1:11" x14ac:dyDescent="0.3">
      <c r="A13" s="23">
        <v>580</v>
      </c>
      <c r="B13" s="19">
        <v>514.28571428571433</v>
      </c>
      <c r="C13" s="20">
        <v>1200</v>
      </c>
      <c r="D13" s="20">
        <v>28.571428571428569</v>
      </c>
      <c r="E13" s="25">
        <v>200857.14</v>
      </c>
      <c r="K13">
        <f>INDEX(OutputValues,9,$J$4)</f>
        <v>28.571428571428569</v>
      </c>
    </row>
    <row r="14" spans="1:11" x14ac:dyDescent="0.3">
      <c r="A14" s="23">
        <v>590</v>
      </c>
      <c r="B14" s="19">
        <v>514.28571428571433</v>
      </c>
      <c r="C14" s="20">
        <v>1200</v>
      </c>
      <c r="D14" s="20">
        <v>28.571428571428569</v>
      </c>
      <c r="E14" s="25">
        <v>201142.86</v>
      </c>
      <c r="K14">
        <f>INDEX(OutputValues,10,$J$4)</f>
        <v>28.571428571428569</v>
      </c>
    </row>
    <row r="15" spans="1:11" x14ac:dyDescent="0.3">
      <c r="A15" s="23">
        <v>600</v>
      </c>
      <c r="B15" s="19">
        <v>525</v>
      </c>
      <c r="C15" s="20">
        <v>1162.5</v>
      </c>
      <c r="D15" s="20">
        <v>50</v>
      </c>
      <c r="E15" s="25">
        <v>201562.5</v>
      </c>
      <c r="K15">
        <f>INDEX(OutputValues,11,$J$4)</f>
        <v>50</v>
      </c>
    </row>
    <row r="16" spans="1:11" x14ac:dyDescent="0.3">
      <c r="A16" s="23">
        <v>610</v>
      </c>
      <c r="B16" s="19">
        <v>525</v>
      </c>
      <c r="C16" s="20">
        <v>1162.5</v>
      </c>
      <c r="D16" s="20">
        <v>50</v>
      </c>
      <c r="E16" s="25">
        <v>202062.5</v>
      </c>
      <c r="K16">
        <f>INDEX(OutputValues,12,$J$4)</f>
        <v>50</v>
      </c>
    </row>
    <row r="17" spans="1:11" x14ac:dyDescent="0.3">
      <c r="A17" s="23">
        <v>620</v>
      </c>
      <c r="B17" s="19">
        <v>525</v>
      </c>
      <c r="C17" s="20">
        <v>1162.5</v>
      </c>
      <c r="D17" s="20">
        <v>50</v>
      </c>
      <c r="E17" s="25">
        <v>202562.5</v>
      </c>
      <c r="K17">
        <f>INDEX(OutputValues,13,$J$4)</f>
        <v>50</v>
      </c>
    </row>
    <row r="18" spans="1:11" x14ac:dyDescent="0.3">
      <c r="A18" s="23">
        <v>630</v>
      </c>
      <c r="B18" s="19">
        <v>525</v>
      </c>
      <c r="C18" s="20">
        <v>1162.5</v>
      </c>
      <c r="D18" s="20">
        <v>50</v>
      </c>
      <c r="E18" s="25">
        <v>203062.5</v>
      </c>
      <c r="K18">
        <f>INDEX(OutputValues,14,$J$4)</f>
        <v>50</v>
      </c>
    </row>
    <row r="19" spans="1:11" x14ac:dyDescent="0.3">
      <c r="A19" s="23">
        <v>640</v>
      </c>
      <c r="B19" s="19">
        <v>525</v>
      </c>
      <c r="C19" s="20">
        <v>1162.5</v>
      </c>
      <c r="D19" s="20">
        <v>50</v>
      </c>
      <c r="E19" s="25">
        <v>203562.5</v>
      </c>
      <c r="K19">
        <f>INDEX(OutputValues,15,$J$4)</f>
        <v>50</v>
      </c>
    </row>
    <row r="20" spans="1:11" x14ac:dyDescent="0.3">
      <c r="A20" s="23">
        <v>650</v>
      </c>
      <c r="B20" s="21">
        <v>525</v>
      </c>
      <c r="C20" s="22">
        <v>1162.5</v>
      </c>
      <c r="D20" s="22">
        <v>50</v>
      </c>
      <c r="E20" s="26">
        <v>204062.5</v>
      </c>
      <c r="K20">
        <f>INDEX(OutputValues,16,$J$4)</f>
        <v>50</v>
      </c>
    </row>
  </sheetData>
  <dataValidations count="1">
    <dataValidation type="list" allowBlank="1" showInputMessage="1" showErrorMessage="1" sqref="K4" xr:uid="{27005CBB-8570-46F9-BD40-9FE359C1F43A}">
      <formula1>OutputAddresses</formula1>
    </dataValidation>
  </dataValidation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54024-38F2-43A7-A6B2-B63230575FE0}">
  <dimension ref="A1:E29"/>
  <sheetViews>
    <sheetView topLeftCell="A4" workbookViewId="0">
      <selection activeCell="J26" sqref="J26"/>
    </sheetView>
  </sheetViews>
  <sheetFormatPr defaultRowHeight="14.4" x14ac:dyDescent="0.3"/>
  <cols>
    <col min="1" max="1" width="22.109375" customWidth="1"/>
    <col min="2" max="2" width="17.6640625" customWidth="1"/>
    <col min="3" max="3" width="17.77734375" customWidth="1"/>
    <col min="4" max="4" width="16.88671875" customWidth="1"/>
    <col min="5" max="5" width="18.6640625" customWidth="1"/>
  </cols>
  <sheetData>
    <row r="1" spans="1:5" x14ac:dyDescent="0.3">
      <c r="A1" s="1" t="s">
        <v>49</v>
      </c>
    </row>
    <row r="2" spans="1:5" x14ac:dyDescent="0.3">
      <c r="A2" s="1"/>
    </row>
    <row r="4" spans="1:5" x14ac:dyDescent="0.3">
      <c r="A4" s="1" t="s">
        <v>50</v>
      </c>
      <c r="B4" s="34"/>
      <c r="C4" s="34"/>
      <c r="D4" s="34"/>
      <c r="E4" s="1"/>
    </row>
    <row r="5" spans="1:5" x14ac:dyDescent="0.3">
      <c r="A5" t="s">
        <v>64</v>
      </c>
      <c r="B5" s="35" t="s">
        <v>65</v>
      </c>
      <c r="C5" s="35" t="s">
        <v>66</v>
      </c>
      <c r="D5" s="35" t="s">
        <v>67</v>
      </c>
      <c r="E5" s="1"/>
    </row>
    <row r="6" spans="1:5" x14ac:dyDescent="0.3">
      <c r="A6" s="5">
        <v>0.3</v>
      </c>
      <c r="B6" s="33">
        <v>0.4</v>
      </c>
      <c r="C6" s="33">
        <v>0.1</v>
      </c>
      <c r="D6" s="33">
        <v>0.15</v>
      </c>
    </row>
    <row r="7" spans="1:5" x14ac:dyDescent="0.3">
      <c r="A7" t="s">
        <v>68</v>
      </c>
      <c r="B7" s="35" t="s">
        <v>61</v>
      </c>
      <c r="C7" s="35" t="s">
        <v>71</v>
      </c>
      <c r="D7" s="35" t="s">
        <v>73</v>
      </c>
    </row>
    <row r="8" spans="1:5" x14ac:dyDescent="0.3">
      <c r="A8" s="5">
        <v>0.3</v>
      </c>
      <c r="B8" s="33">
        <v>0.1</v>
      </c>
      <c r="C8" s="33">
        <v>0.25</v>
      </c>
      <c r="D8" s="33">
        <v>0.4</v>
      </c>
    </row>
    <row r="9" spans="1:5" x14ac:dyDescent="0.3">
      <c r="A9" s="37" t="s">
        <v>69</v>
      </c>
      <c r="B9" s="36" t="s">
        <v>70</v>
      </c>
      <c r="C9" s="36" t="s">
        <v>72</v>
      </c>
      <c r="D9" s="36" t="s">
        <v>74</v>
      </c>
    </row>
    <row r="10" spans="1:5" x14ac:dyDescent="0.3">
      <c r="A10" s="5">
        <v>0.4</v>
      </c>
      <c r="B10" s="5">
        <v>0.5</v>
      </c>
      <c r="C10" s="5">
        <v>0.65</v>
      </c>
      <c r="D10" s="5">
        <v>0.45</v>
      </c>
    </row>
    <row r="11" spans="1:5" x14ac:dyDescent="0.3">
      <c r="A11" s="32">
        <f>(AW+CW+MW)</f>
        <v>1</v>
      </c>
      <c r="B11" s="32">
        <f>AX+CX+MX</f>
        <v>1</v>
      </c>
      <c r="C11" s="32">
        <f>AY+CY+MY</f>
        <v>1</v>
      </c>
      <c r="D11" s="32">
        <f>AZ+CZ+MZ</f>
        <v>1</v>
      </c>
      <c r="E11" s="1" t="s">
        <v>75</v>
      </c>
    </row>
    <row r="13" spans="1:5" x14ac:dyDescent="0.3">
      <c r="A13" s="1" t="s">
        <v>58</v>
      </c>
      <c r="B13" s="1" t="s">
        <v>59</v>
      </c>
      <c r="D13" s="1" t="s">
        <v>63</v>
      </c>
    </row>
    <row r="14" spans="1:5" x14ac:dyDescent="0.3">
      <c r="A14" t="s">
        <v>51</v>
      </c>
      <c r="B14" s="27">
        <v>35</v>
      </c>
      <c r="D14" s="30">
        <v>0</v>
      </c>
    </row>
    <row r="15" spans="1:5" x14ac:dyDescent="0.3">
      <c r="A15" t="s">
        <v>52</v>
      </c>
      <c r="B15" s="27">
        <v>47</v>
      </c>
      <c r="D15" s="30">
        <v>903.22580645161315</v>
      </c>
    </row>
    <row r="16" spans="1:5" x14ac:dyDescent="0.3">
      <c r="A16" t="s">
        <v>53</v>
      </c>
      <c r="B16" s="27">
        <v>60</v>
      </c>
      <c r="D16" s="30">
        <v>0</v>
      </c>
    </row>
    <row r="17" spans="1:4" x14ac:dyDescent="0.3">
      <c r="A17" t="s">
        <v>54</v>
      </c>
      <c r="B17" s="27">
        <v>140</v>
      </c>
      <c r="D17" s="30">
        <v>774.1935483870966</v>
      </c>
    </row>
    <row r="19" spans="1:4" x14ac:dyDescent="0.3">
      <c r="A19" s="1" t="s">
        <v>60</v>
      </c>
      <c r="B19" s="1" t="s">
        <v>117</v>
      </c>
      <c r="C19" s="1" t="s">
        <v>118</v>
      </c>
    </row>
    <row r="20" spans="1:4" x14ac:dyDescent="0.3">
      <c r="A20" t="s">
        <v>55</v>
      </c>
      <c r="B20" s="28">
        <v>600</v>
      </c>
      <c r="C20">
        <f>(AW*D14)+(AX*D15)+(AY*D16)+(AZ*D17)</f>
        <v>477.41935483870975</v>
      </c>
    </row>
    <row r="21" spans="1:4" x14ac:dyDescent="0.3">
      <c r="A21" t="s">
        <v>56</v>
      </c>
      <c r="B21" s="28">
        <v>400</v>
      </c>
      <c r="C21">
        <f>(CW*D14)+(CX*D15)+(CY*D16)+(CZ*D17)</f>
        <v>400</v>
      </c>
    </row>
    <row r="22" spans="1:4" x14ac:dyDescent="0.3">
      <c r="A22" t="s">
        <v>57</v>
      </c>
      <c r="B22" s="28">
        <v>800</v>
      </c>
      <c r="C22">
        <f>(MW*D14)+(MX*D15)+(MY*D16)+(MZ*D17)</f>
        <v>800</v>
      </c>
    </row>
    <row r="24" spans="1:4" x14ac:dyDescent="0.3">
      <c r="A24" s="1" t="s">
        <v>62</v>
      </c>
    </row>
    <row r="25" spans="1:4" x14ac:dyDescent="0.3">
      <c r="A25" t="s">
        <v>51</v>
      </c>
      <c r="B25" s="29">
        <f>(AW+CW+MW)*B14*D14</f>
        <v>0</v>
      </c>
    </row>
    <row r="26" spans="1:4" x14ac:dyDescent="0.3">
      <c r="A26" t="s">
        <v>52</v>
      </c>
      <c r="B26" s="29">
        <f>(AX+CX+MX)*B15*D15</f>
        <v>42451.612903225818</v>
      </c>
    </row>
    <row r="27" spans="1:4" x14ac:dyDescent="0.3">
      <c r="A27" t="s">
        <v>53</v>
      </c>
      <c r="B27" s="29">
        <f>(AY+CY+MY)*B16*D16</f>
        <v>0</v>
      </c>
    </row>
    <row r="28" spans="1:4" x14ac:dyDescent="0.3">
      <c r="A28" t="s">
        <v>54</v>
      </c>
      <c r="B28" s="29">
        <f>(AZ+CZ+MZ)*B17*D17</f>
        <v>108387.09677419352</v>
      </c>
    </row>
    <row r="29" spans="1:4" x14ac:dyDescent="0.3">
      <c r="A29" s="1" t="s">
        <v>119</v>
      </c>
      <c r="B29" s="31">
        <f>(D14*B14)+(D15*B15)+(D16*B16)+(D17*B17)</f>
        <v>150838.70967741933</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7EA36-7051-4DB2-BEFF-48418333697E}">
  <dimension ref="A1:G32"/>
  <sheetViews>
    <sheetView showGridLines="0" topLeftCell="A4" workbookViewId="0"/>
  </sheetViews>
  <sheetFormatPr defaultRowHeight="14.4" x14ac:dyDescent="0.3"/>
  <cols>
    <col min="1" max="1" width="2.33203125" customWidth="1"/>
    <col min="2" max="2" width="19" bestFit="1" customWidth="1"/>
    <col min="3" max="3" width="20.77734375" bestFit="1" customWidth="1"/>
    <col min="4" max="4" width="12.6640625" bestFit="1" customWidth="1"/>
    <col min="5" max="5" width="13.33203125" bestFit="1" customWidth="1"/>
    <col min="6" max="6" width="10.44140625" bestFit="1" customWidth="1"/>
    <col min="7" max="7" width="6" bestFit="1" customWidth="1"/>
  </cols>
  <sheetData>
    <row r="1" spans="1:5" x14ac:dyDescent="0.3">
      <c r="A1" s="1" t="s">
        <v>77</v>
      </c>
    </row>
    <row r="2" spans="1:5" x14ac:dyDescent="0.3">
      <c r="A2" s="1" t="s">
        <v>78</v>
      </c>
    </row>
    <row r="3" spans="1:5" x14ac:dyDescent="0.3">
      <c r="A3" s="1" t="s">
        <v>79</v>
      </c>
    </row>
    <row r="4" spans="1:5" x14ac:dyDescent="0.3">
      <c r="A4" s="1" t="s">
        <v>80</v>
      </c>
    </row>
    <row r="5" spans="1:5" x14ac:dyDescent="0.3">
      <c r="A5" s="1" t="s">
        <v>81</v>
      </c>
    </row>
    <row r="6" spans="1:5" x14ac:dyDescent="0.3">
      <c r="A6" s="1"/>
      <c r="B6" t="s">
        <v>82</v>
      </c>
    </row>
    <row r="7" spans="1:5" x14ac:dyDescent="0.3">
      <c r="A7" s="1"/>
      <c r="B7" t="s">
        <v>83</v>
      </c>
    </row>
    <row r="8" spans="1:5" x14ac:dyDescent="0.3">
      <c r="A8" s="1"/>
      <c r="B8" t="s">
        <v>84</v>
      </c>
    </row>
    <row r="9" spans="1:5" x14ac:dyDescent="0.3">
      <c r="A9" s="1" t="s">
        <v>85</v>
      </c>
    </row>
    <row r="10" spans="1:5" x14ac:dyDescent="0.3">
      <c r="B10" t="s">
        <v>86</v>
      </c>
    </row>
    <row r="11" spans="1:5" x14ac:dyDescent="0.3">
      <c r="B11" t="s">
        <v>87</v>
      </c>
    </row>
    <row r="14" spans="1:5" ht="15" thickBot="1" x14ac:dyDescent="0.35">
      <c r="A14" t="s">
        <v>88</v>
      </c>
    </row>
    <row r="15" spans="1:5" ht="15" thickBot="1" x14ac:dyDescent="0.35">
      <c r="B15" s="38" t="s">
        <v>22</v>
      </c>
      <c r="C15" s="38" t="s">
        <v>23</v>
      </c>
      <c r="D15" s="38" t="s">
        <v>89</v>
      </c>
      <c r="E15" s="38" t="s">
        <v>90</v>
      </c>
    </row>
    <row r="16" spans="1:5" ht="15" thickBot="1" x14ac:dyDescent="0.35">
      <c r="B16" s="7" t="s">
        <v>96</v>
      </c>
      <c r="C16" s="7" t="s">
        <v>97</v>
      </c>
      <c r="D16" s="39">
        <v>150801</v>
      </c>
      <c r="E16" s="39">
        <v>150801</v>
      </c>
    </row>
    <row r="19" spans="1:7" ht="15" thickBot="1" x14ac:dyDescent="0.35">
      <c r="A19" t="s">
        <v>21</v>
      </c>
    </row>
    <row r="20" spans="1:7" ht="15" thickBot="1" x14ac:dyDescent="0.35">
      <c r="B20" s="38" t="s">
        <v>22</v>
      </c>
      <c r="C20" s="38" t="s">
        <v>23</v>
      </c>
      <c r="D20" s="38" t="s">
        <v>89</v>
      </c>
      <c r="E20" s="38" t="s">
        <v>90</v>
      </c>
      <c r="F20" s="38" t="s">
        <v>91</v>
      </c>
    </row>
    <row r="21" spans="1:7" x14ac:dyDescent="0.3">
      <c r="B21" s="6" t="s">
        <v>98</v>
      </c>
      <c r="C21" s="6" t="s">
        <v>99</v>
      </c>
      <c r="D21" s="40">
        <v>0</v>
      </c>
      <c r="E21" s="40">
        <v>0</v>
      </c>
      <c r="F21" s="6" t="s">
        <v>91</v>
      </c>
    </row>
    <row r="22" spans="1:7" x14ac:dyDescent="0.3">
      <c r="B22" s="6" t="s">
        <v>100</v>
      </c>
      <c r="C22" s="6" t="s">
        <v>101</v>
      </c>
      <c r="D22" s="40">
        <v>903</v>
      </c>
      <c r="E22" s="40">
        <v>903</v>
      </c>
      <c r="F22" s="6" t="s">
        <v>91</v>
      </c>
    </row>
    <row r="23" spans="1:7" x14ac:dyDescent="0.3">
      <c r="B23" s="6" t="s">
        <v>76</v>
      </c>
      <c r="C23" s="6" t="s">
        <v>102</v>
      </c>
      <c r="D23" s="40">
        <v>0</v>
      </c>
      <c r="E23" s="40">
        <v>0</v>
      </c>
      <c r="F23" s="6" t="s">
        <v>91</v>
      </c>
    </row>
    <row r="24" spans="1:7" ht="15" thickBot="1" x14ac:dyDescent="0.35">
      <c r="B24" s="7" t="s">
        <v>103</v>
      </c>
      <c r="C24" s="7" t="s">
        <v>104</v>
      </c>
      <c r="D24" s="41">
        <v>774</v>
      </c>
      <c r="E24" s="41">
        <v>774</v>
      </c>
      <c r="F24" s="7" t="s">
        <v>91</v>
      </c>
    </row>
    <row r="27" spans="1:7" ht="15" thickBot="1" x14ac:dyDescent="0.35">
      <c r="A27" t="s">
        <v>27</v>
      </c>
    </row>
    <row r="28" spans="1:7" ht="15" thickBot="1" x14ac:dyDescent="0.35">
      <c r="B28" s="38" t="s">
        <v>22</v>
      </c>
      <c r="C28" s="38" t="s">
        <v>23</v>
      </c>
      <c r="D28" s="38" t="s">
        <v>92</v>
      </c>
      <c r="E28" s="38" t="s">
        <v>93</v>
      </c>
      <c r="F28" s="38" t="s">
        <v>94</v>
      </c>
      <c r="G28" s="38" t="s">
        <v>95</v>
      </c>
    </row>
    <row r="29" spans="1:7" x14ac:dyDescent="0.3">
      <c r="B29" s="6" t="s">
        <v>105</v>
      </c>
      <c r="C29" s="6" t="s">
        <v>106</v>
      </c>
      <c r="D29" s="40">
        <v>477.30000000000007</v>
      </c>
      <c r="E29" s="6" t="s">
        <v>107</v>
      </c>
      <c r="F29" s="6" t="s">
        <v>108</v>
      </c>
      <c r="G29" s="6">
        <v>122.69999999999993</v>
      </c>
    </row>
    <row r="30" spans="1:7" x14ac:dyDescent="0.3">
      <c r="B30" s="6" t="s">
        <v>109</v>
      </c>
      <c r="C30" s="6" t="s">
        <v>110</v>
      </c>
      <c r="D30" s="40">
        <v>399.90000000000003</v>
      </c>
      <c r="E30" s="6" t="s">
        <v>111</v>
      </c>
      <c r="F30" s="6" t="s">
        <v>108</v>
      </c>
      <c r="G30" s="6">
        <v>9.9999999999965894E-2</v>
      </c>
    </row>
    <row r="31" spans="1:7" x14ac:dyDescent="0.3">
      <c r="B31" s="6" t="s">
        <v>112</v>
      </c>
      <c r="C31" s="6" t="s">
        <v>113</v>
      </c>
      <c r="D31" s="40">
        <v>799.8</v>
      </c>
      <c r="E31" s="6" t="s">
        <v>114</v>
      </c>
      <c r="F31" s="6" t="s">
        <v>108</v>
      </c>
      <c r="G31" s="6">
        <v>0.20000000000004547</v>
      </c>
    </row>
    <row r="32" spans="1:7" ht="15" thickBot="1" x14ac:dyDescent="0.35">
      <c r="B32" s="7" t="s">
        <v>115</v>
      </c>
      <c r="C32" s="7"/>
      <c r="D32" s="7"/>
      <c r="E32" s="7"/>
      <c r="F32" s="7"/>
      <c r="G32"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AF5C2-FDF8-4975-9869-E0562245D017}">
  <dimension ref="A1:H19"/>
  <sheetViews>
    <sheetView showGridLines="0" workbookViewId="0"/>
  </sheetViews>
  <sheetFormatPr defaultRowHeight="14.4" x14ac:dyDescent="0.3"/>
  <cols>
    <col min="1" max="1" width="2.33203125" customWidth="1"/>
    <col min="2" max="2" width="6.21875" bestFit="1" customWidth="1"/>
    <col min="3" max="3" width="20.77734375" bestFit="1" customWidth="1"/>
    <col min="4" max="4" width="12" bestFit="1" customWidth="1"/>
    <col min="5" max="5" width="12.6640625" bestFit="1" customWidth="1"/>
    <col min="6" max="6" width="10.109375" bestFit="1" customWidth="1"/>
    <col min="7" max="8" width="12" bestFit="1" customWidth="1"/>
  </cols>
  <sheetData>
    <row r="1" spans="1:8" x14ac:dyDescent="0.3">
      <c r="A1" s="1" t="s">
        <v>20</v>
      </c>
    </row>
    <row r="2" spans="1:8" x14ac:dyDescent="0.3">
      <c r="A2" s="1" t="s">
        <v>78</v>
      </c>
    </row>
    <row r="3" spans="1:8" x14ac:dyDescent="0.3">
      <c r="A3" s="1" t="s">
        <v>116</v>
      </c>
    </row>
    <row r="6" spans="1:8" ht="15" thickBot="1" x14ac:dyDescent="0.35">
      <c r="A6" t="s">
        <v>21</v>
      </c>
    </row>
    <row r="7" spans="1:8" x14ac:dyDescent="0.3">
      <c r="B7" s="8"/>
      <c r="C7" s="8"/>
      <c r="D7" s="8" t="s">
        <v>24</v>
      </c>
      <c r="E7" s="8" t="s">
        <v>26</v>
      </c>
      <c r="F7" s="8" t="s">
        <v>29</v>
      </c>
      <c r="G7" s="8" t="s">
        <v>31</v>
      </c>
      <c r="H7" s="8" t="s">
        <v>31</v>
      </c>
    </row>
    <row r="8" spans="1:8" ht="15" thickBot="1" x14ac:dyDescent="0.35">
      <c r="B8" s="9" t="s">
        <v>22</v>
      </c>
      <c r="C8" s="9" t="s">
        <v>23</v>
      </c>
      <c r="D8" s="9" t="s">
        <v>25</v>
      </c>
      <c r="E8" s="9" t="s">
        <v>28</v>
      </c>
      <c r="F8" s="9" t="s">
        <v>30</v>
      </c>
      <c r="G8" s="9" t="s">
        <v>32</v>
      </c>
      <c r="H8" s="9" t="s">
        <v>33</v>
      </c>
    </row>
    <row r="9" spans="1:8" x14ac:dyDescent="0.3">
      <c r="B9" s="6" t="s">
        <v>98</v>
      </c>
      <c r="C9" s="6" t="s">
        <v>99</v>
      </c>
      <c r="D9" s="6">
        <v>0</v>
      </c>
      <c r="E9" s="6">
        <v>-71.935483870967744</v>
      </c>
      <c r="F9" s="6">
        <v>35</v>
      </c>
      <c r="G9" s="6">
        <v>71.935483870967744</v>
      </c>
      <c r="H9" s="6">
        <v>1E+30</v>
      </c>
    </row>
    <row r="10" spans="1:8" x14ac:dyDescent="0.3">
      <c r="B10" s="6" t="s">
        <v>100</v>
      </c>
      <c r="C10" s="6" t="s">
        <v>101</v>
      </c>
      <c r="D10" s="6">
        <v>903.22580645161315</v>
      </c>
      <c r="E10" s="6">
        <v>0</v>
      </c>
      <c r="F10" s="6">
        <v>47</v>
      </c>
      <c r="G10" s="6">
        <v>108.55555555555554</v>
      </c>
      <c r="H10" s="6">
        <v>11.999999999999986</v>
      </c>
    </row>
    <row r="11" spans="1:8" x14ac:dyDescent="0.3">
      <c r="B11" s="6" t="s">
        <v>76</v>
      </c>
      <c r="C11" s="6" t="s">
        <v>102</v>
      </c>
      <c r="D11" s="6">
        <v>0</v>
      </c>
      <c r="E11" s="6">
        <v>-38.919354838709666</v>
      </c>
      <c r="F11" s="6">
        <v>60</v>
      </c>
      <c r="G11" s="6">
        <v>38.919354838709666</v>
      </c>
      <c r="H11" s="6">
        <v>1E+30</v>
      </c>
    </row>
    <row r="12" spans="1:8" ht="15" thickBot="1" x14ac:dyDescent="0.35">
      <c r="B12" s="7" t="s">
        <v>103</v>
      </c>
      <c r="C12" s="7" t="s">
        <v>104</v>
      </c>
      <c r="D12" s="7">
        <v>774.1935483870966</v>
      </c>
      <c r="E12" s="7">
        <v>0</v>
      </c>
      <c r="F12" s="7">
        <v>140</v>
      </c>
      <c r="G12" s="7">
        <v>47.999999999999922</v>
      </c>
      <c r="H12" s="7">
        <v>97.699999999999989</v>
      </c>
    </row>
    <row r="14" spans="1:8" ht="15" thickBot="1" x14ac:dyDescent="0.35">
      <c r="A14" t="s">
        <v>27</v>
      </c>
    </row>
    <row r="15" spans="1:8" x14ac:dyDescent="0.3">
      <c r="B15" s="8"/>
      <c r="C15" s="8"/>
      <c r="D15" s="8" t="s">
        <v>24</v>
      </c>
      <c r="E15" s="8" t="s">
        <v>34</v>
      </c>
      <c r="F15" s="8" t="s">
        <v>36</v>
      </c>
      <c r="G15" s="8" t="s">
        <v>31</v>
      </c>
      <c r="H15" s="8" t="s">
        <v>31</v>
      </c>
    </row>
    <row r="16" spans="1:8" ht="15" thickBot="1" x14ac:dyDescent="0.35">
      <c r="B16" s="9" t="s">
        <v>22</v>
      </c>
      <c r="C16" s="9" t="s">
        <v>23</v>
      </c>
      <c r="D16" s="9" t="s">
        <v>25</v>
      </c>
      <c r="E16" s="9" t="s">
        <v>35</v>
      </c>
      <c r="F16" s="9" t="s">
        <v>37</v>
      </c>
      <c r="G16" s="9" t="s">
        <v>32</v>
      </c>
      <c r="H16" s="9" t="s">
        <v>33</v>
      </c>
    </row>
    <row r="17" spans="2:8" x14ac:dyDescent="0.3">
      <c r="B17" s="6" t="s">
        <v>105</v>
      </c>
      <c r="C17" s="6" t="s">
        <v>106</v>
      </c>
      <c r="D17" s="6">
        <v>477.41935483870975</v>
      </c>
      <c r="E17" s="6">
        <v>0</v>
      </c>
      <c r="F17" s="6">
        <v>600</v>
      </c>
      <c r="G17" s="6">
        <v>1E+30</v>
      </c>
      <c r="H17" s="6">
        <v>122.58064516129031</v>
      </c>
    </row>
    <row r="18" spans="2:8" x14ac:dyDescent="0.3">
      <c r="B18" s="6" t="s">
        <v>109</v>
      </c>
      <c r="C18" s="6" t="s">
        <v>110</v>
      </c>
      <c r="D18" s="6">
        <v>400</v>
      </c>
      <c r="E18" s="6">
        <v>315.16129032258067</v>
      </c>
      <c r="F18" s="6">
        <v>400</v>
      </c>
      <c r="G18" s="6">
        <v>311.11111111111114</v>
      </c>
      <c r="H18" s="6">
        <v>180.95238095238091</v>
      </c>
    </row>
    <row r="19" spans="2:8" ht="15" thickBot="1" x14ac:dyDescent="0.35">
      <c r="B19" s="7" t="s">
        <v>112</v>
      </c>
      <c r="C19" s="7" t="s">
        <v>113</v>
      </c>
      <c r="D19" s="7">
        <v>800</v>
      </c>
      <c r="E19" s="7">
        <v>30.96774193548384</v>
      </c>
      <c r="F19" s="7">
        <v>800</v>
      </c>
      <c r="G19" s="7">
        <v>131.03448275862067</v>
      </c>
      <c r="H19" s="7">
        <v>350.00000000000006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92A85-EE31-41FA-BBD4-D147C489C4B9}">
  <dimension ref="A8:B15"/>
  <sheetViews>
    <sheetView workbookViewId="0"/>
  </sheetViews>
  <sheetFormatPr defaultRowHeight="14.4" x14ac:dyDescent="0.3"/>
  <sheetData>
    <row r="8" spans="1:2" x14ac:dyDescent="0.3">
      <c r="A8" s="13"/>
      <c r="B8" s="13"/>
    </row>
    <row r="15" spans="1:2" x14ac:dyDescent="0.3">
      <c r="B15" s="1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44107-19D6-4C83-BCD7-4C85B117F612}">
  <dimension ref="A1:B15"/>
  <sheetViews>
    <sheetView workbookViewId="0"/>
  </sheetViews>
  <sheetFormatPr defaultRowHeight="14.4" x14ac:dyDescent="0.3"/>
  <sheetData>
    <row r="1" spans="1:2" x14ac:dyDescent="0.3">
      <c r="A1">
        <v>1</v>
      </c>
    </row>
    <row r="2" spans="1:2" x14ac:dyDescent="0.3">
      <c r="A2" t="s">
        <v>44</v>
      </c>
    </row>
    <row r="3" spans="1:2" x14ac:dyDescent="0.3">
      <c r="A3">
        <v>1</v>
      </c>
    </row>
    <row r="4" spans="1:2" x14ac:dyDescent="0.3">
      <c r="A4">
        <v>500</v>
      </c>
    </row>
    <row r="5" spans="1:2" x14ac:dyDescent="0.3">
      <c r="A5">
        <v>650</v>
      </c>
    </row>
    <row r="6" spans="1:2" x14ac:dyDescent="0.3">
      <c r="A6">
        <v>10</v>
      </c>
    </row>
    <row r="8" spans="1:2" x14ac:dyDescent="0.3">
      <c r="A8" s="13"/>
      <c r="B8" s="13"/>
    </row>
    <row r="9" spans="1:2" x14ac:dyDescent="0.3">
      <c r="A9" t="s">
        <v>45</v>
      </c>
    </row>
    <row r="10" spans="1:2" x14ac:dyDescent="0.3">
      <c r="A10" t="s">
        <v>46</v>
      </c>
    </row>
    <row r="15" spans="1:2" x14ac:dyDescent="0.3">
      <c r="B15"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73</vt:i4>
      </vt:variant>
    </vt:vector>
  </HeadingPairs>
  <TitlesOfParts>
    <vt:vector size="79" baseType="lpstr">
      <vt:lpstr>Computer</vt:lpstr>
      <vt:lpstr>Computer(Constraints)</vt:lpstr>
      <vt:lpstr>Computer Sensitivity</vt:lpstr>
      <vt:lpstr>Alloy</vt:lpstr>
      <vt:lpstr>Alloy Report</vt:lpstr>
      <vt:lpstr>Alloy Sensitivty</vt:lpstr>
      <vt:lpstr>AllowW</vt:lpstr>
      <vt:lpstr>AllowWlb.</vt:lpstr>
      <vt:lpstr>AllowYlb.</vt:lpstr>
      <vt:lpstr>AlloyXlb.</vt:lpstr>
      <vt:lpstr>AlloyZlb.</vt:lpstr>
      <vt:lpstr>AW</vt:lpstr>
      <vt:lpstr>AX</vt:lpstr>
      <vt:lpstr>AY</vt:lpstr>
      <vt:lpstr>AZ</vt:lpstr>
      <vt:lpstr>Computer!BasicAssReq</vt:lpstr>
      <vt:lpstr>'Computer(Constraints)'!BasicAssReq</vt:lpstr>
      <vt:lpstr>Computer!BasicMargin</vt:lpstr>
      <vt:lpstr>'Computer(Constraints)'!BasicMargin</vt:lpstr>
      <vt:lpstr>Computer!BasicPartCosts</vt:lpstr>
      <vt:lpstr>'Computer(Constraints)'!BasicPartCosts</vt:lpstr>
      <vt:lpstr>Computer!BasicSellPrice</vt:lpstr>
      <vt:lpstr>'Computer(Constraints)'!BasicSellPrice</vt:lpstr>
      <vt:lpstr>'Computer(Constraints)'!BasicTestReq</vt:lpstr>
      <vt:lpstr>BasicTestReq</vt:lpstr>
      <vt:lpstr>'Computer Sensitivity'!ChartData</vt:lpstr>
      <vt:lpstr>Computer!CostAss</vt:lpstr>
      <vt:lpstr>'Computer(Constraints)'!CostAss</vt:lpstr>
      <vt:lpstr>Computer!CostTest</vt:lpstr>
      <vt:lpstr>'Computer(Constraints)'!CostTest</vt:lpstr>
      <vt:lpstr>CW</vt:lpstr>
      <vt:lpstr>CX</vt:lpstr>
      <vt:lpstr>CY</vt:lpstr>
      <vt:lpstr>CZ</vt:lpstr>
      <vt:lpstr>'Computer Sensitivity'!InputValues</vt:lpstr>
      <vt:lpstr>Computer!MaxHoursAss</vt:lpstr>
      <vt:lpstr>'Computer(Constraints)'!MaxHoursAss</vt:lpstr>
      <vt:lpstr>Computer!MaxHoursTest</vt:lpstr>
      <vt:lpstr>'Computer(Constraints)'!MaxHoursTest</vt:lpstr>
      <vt:lpstr>Computer!MaxProduced</vt:lpstr>
      <vt:lpstr>'Computer(Constraints)'!MaxProduced</vt:lpstr>
      <vt:lpstr>Computer!MaxSaleBasic</vt:lpstr>
      <vt:lpstr>'Computer(Constraints)'!MaxSaleBasic</vt:lpstr>
      <vt:lpstr>Computer!MaxSaleXP</vt:lpstr>
      <vt:lpstr>'Computer(Constraints)'!MaxSaleXP</vt:lpstr>
      <vt:lpstr>'Computer(Constraints)'!MaxToProduce3_2</vt:lpstr>
      <vt:lpstr>MaxToProduce3_2</vt:lpstr>
      <vt:lpstr>MW</vt:lpstr>
      <vt:lpstr>MX</vt:lpstr>
      <vt:lpstr>MY</vt:lpstr>
      <vt:lpstr>MZ</vt:lpstr>
      <vt:lpstr>Computer!NumProduced</vt:lpstr>
      <vt:lpstr>'Computer(Constraints)'!NumProduced</vt:lpstr>
      <vt:lpstr>'Computer(Constraints)'!NumToProd3_2</vt:lpstr>
      <vt:lpstr>NumToProd3_2</vt:lpstr>
      <vt:lpstr>'Computer Sensitivity'!OutputAddresses</vt:lpstr>
      <vt:lpstr>'Computer Sensitivity'!OutputValues</vt:lpstr>
      <vt:lpstr>Computer!TotalProfit</vt:lpstr>
      <vt:lpstr>'Computer(Constraints)'!TotalProfit</vt:lpstr>
      <vt:lpstr>'Computer(Constraints)'!VXPAssReq</vt:lpstr>
      <vt:lpstr>VXPAssReq</vt:lpstr>
      <vt:lpstr>'Computer(Constraints)'!VXPMargin</vt:lpstr>
      <vt:lpstr>VXPMargin</vt:lpstr>
      <vt:lpstr>'Computer(Constraints)'!VXPPartCost</vt:lpstr>
      <vt:lpstr>VXPPartCost</vt:lpstr>
      <vt:lpstr>'Computer(Constraints)'!VXPSellPrice</vt:lpstr>
      <vt:lpstr>VXPSellPrice</vt:lpstr>
      <vt:lpstr>'Computer(Constraints)'!VXPTestReq</vt:lpstr>
      <vt:lpstr>VXPTestReq</vt:lpstr>
      <vt:lpstr>Computer!XPAssReq</vt:lpstr>
      <vt:lpstr>'Computer(Constraints)'!XPAssReq</vt:lpstr>
      <vt:lpstr>Computer!XPMargin</vt:lpstr>
      <vt:lpstr>'Computer(Constraints)'!XPMargin</vt:lpstr>
      <vt:lpstr>'Computer(Constraints)'!XPPartCost</vt:lpstr>
      <vt:lpstr>XPPartCost</vt:lpstr>
      <vt:lpstr>Computer!XPSellPrice</vt:lpstr>
      <vt:lpstr>'Computer(Constraints)'!XPSellPrice</vt:lpstr>
      <vt:lpstr>'Computer(Constraints)'!XPTestReq</vt:lpstr>
      <vt:lpstr>XPTestReq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18046</dc:creator>
  <cp:lastModifiedBy>18046</cp:lastModifiedBy>
  <dcterms:created xsi:type="dcterms:W3CDTF">2021-07-12T17:07:02Z</dcterms:created>
  <dcterms:modified xsi:type="dcterms:W3CDTF">2021-12-29T18:59:44Z</dcterms:modified>
</cp:coreProperties>
</file>