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ctor3d-my.sharepoint.com/personal/adam_vector3d_co_uk/Documents/Projects/Vector 3D/Testing and Calibration Products/Califlower/"/>
    </mc:Choice>
  </mc:AlternateContent>
  <xr:revisionPtr revIDLastSave="5" documentId="8_{BED86A6A-5928-403F-9461-BAD7E6A31F75}" xr6:coauthVersionLast="47" xr6:coauthVersionMax="47" xr10:uidLastSave="{B9F26144-442B-487B-9463-7ED74B410603}"/>
  <workbookProtection workbookAlgorithmName="SHA-512" workbookHashValue="dksybLLUif3kd2oQbYJXQQym349h6ceMsnkZ6SNAs0YV4vBLJeRJpNz6ytcwvLppj5Lxv2K9FLGkOse5cDgwpA==" workbookSaltValue="FWfPvxfsEcVUY6NaTf5iOg==" workbookSpinCount="100000" lockStructure="1"/>
  <bookViews>
    <workbookView xWindow="-36600" yWindow="3195" windowWidth="23775" windowHeight="17550" xr2:uid="{C23B89ED-7B17-469A-AAEE-50C83F6C9DF6}"/>
  </bookViews>
  <sheets>
    <sheet name="Calculator" sheetId="2" r:id="rId1"/>
    <sheet name="Data" sheetId="3" state="hidden" r:id="rId2"/>
  </sheets>
  <definedNames>
    <definedName name="scale">Calculator!$C$4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3" l="1"/>
  <c r="E16" i="2"/>
  <c r="A29" i="3" l="1"/>
  <c r="B34" i="3"/>
  <c r="C62" i="2"/>
  <c r="C64" i="2"/>
  <c r="C56" i="2"/>
  <c r="B9" i="3"/>
  <c r="B7" i="3"/>
  <c r="B5" i="3"/>
  <c r="B3" i="3"/>
  <c r="B8" i="3"/>
  <c r="B6" i="3"/>
  <c r="B4" i="3"/>
  <c r="B2" i="3"/>
  <c r="C42" i="2"/>
  <c r="C49" i="2"/>
  <c r="E8" i="2" l="1"/>
  <c r="C2" i="3" s="1"/>
  <c r="E9" i="2"/>
  <c r="E10" i="2"/>
  <c r="E11" i="2"/>
  <c r="E12" i="2"/>
  <c r="E13" i="2"/>
  <c r="E14" i="2"/>
  <c r="E15" i="2"/>
  <c r="E17" i="2"/>
  <c r="A30" i="3" l="1"/>
  <c r="C51" i="2" s="1"/>
  <c r="C50" i="2"/>
  <c r="C3" i="3"/>
  <c r="C4" i="3"/>
  <c r="C5" i="3"/>
  <c r="C6" i="3"/>
  <c r="C7" i="3"/>
  <c r="C8" i="3"/>
  <c r="C9" i="3"/>
  <c r="D13" i="3" l="1"/>
  <c r="B33" i="2" s="1"/>
  <c r="C33" i="2" s="1"/>
  <c r="E13" i="3"/>
  <c r="B34" i="2" s="1"/>
  <c r="C34" i="2" s="1"/>
  <c r="C13" i="3"/>
  <c r="B35" i="3" s="1"/>
  <c r="B52" i="3" l="1"/>
  <c r="C75" i="2" s="1"/>
  <c r="B51" i="3"/>
  <c r="C73" i="2" s="1"/>
  <c r="B17" i="3"/>
  <c r="A23" i="3" s="1"/>
  <c r="B55" i="3"/>
  <c r="C82" i="2" s="1"/>
  <c r="B59" i="3"/>
  <c r="C90" i="2" s="1"/>
  <c r="B56" i="3"/>
  <c r="C83" i="2" s="1"/>
  <c r="B60" i="3"/>
  <c r="C91" i="2" s="1"/>
  <c r="B26" i="2"/>
  <c r="C26" i="2" s="1"/>
  <c r="B25" i="2"/>
  <c r="C25" i="2" s="1"/>
  <c r="A31" i="3" l="1"/>
  <c r="C52" i="2" s="1"/>
  <c r="B18" i="3"/>
  <c r="B19" i="3" s="1"/>
  <c r="B46" i="3" s="1"/>
  <c r="C41" i="2"/>
  <c r="B36" i="3"/>
  <c r="B37" i="3" s="1"/>
  <c r="A47" i="3" l="1"/>
  <c r="B29" i="2"/>
  <c r="A32" i="3"/>
  <c r="B20" i="3"/>
  <c r="C68" i="2" l="1"/>
  <c r="C57" i="2"/>
  <c r="B41" i="3"/>
  <c r="C63" i="2" s="1"/>
  <c r="B30" i="2"/>
  <c r="C30" i="2" s="1"/>
</calcChain>
</file>

<file path=xl/sharedStrings.xml><?xml version="1.0" encoding="utf-8"?>
<sst xmlns="http://schemas.openxmlformats.org/spreadsheetml/2006/main" count="149" uniqueCount="110">
  <si>
    <t>Design</t>
  </si>
  <si>
    <t>X</t>
  </si>
  <si>
    <t>Y</t>
  </si>
  <si>
    <t>% Error</t>
  </si>
  <si>
    <t>Correction</t>
  </si>
  <si>
    <t>Skew</t>
  </si>
  <si>
    <t>H1 (a)</t>
  </si>
  <si>
    <t>H2 (b)</t>
  </si>
  <si>
    <t>Klipper</t>
  </si>
  <si>
    <t>GET_CURRENT_SKEW</t>
  </si>
  <si>
    <t>Angle</t>
  </si>
  <si>
    <t>Measurements</t>
  </si>
  <si>
    <t>Results</t>
  </si>
  <si>
    <t>Error</t>
  </si>
  <si>
    <t>Klipper G Code Fix</t>
  </si>
  <si>
    <t>Marlin</t>
  </si>
  <si>
    <t>RRF</t>
  </si>
  <si>
    <t>if ENABLED(SKEW_CORRECTION)</t>
  </si>
  <si>
    <t>Skew Factor</t>
  </si>
  <si>
    <t>AC</t>
  </si>
  <si>
    <t>AB</t>
  </si>
  <si>
    <t>AD</t>
  </si>
  <si>
    <t>Marlin Firmware Adjustment</t>
  </si>
  <si>
    <t>Fix Skew</t>
  </si>
  <si>
    <t>Reading 1</t>
  </si>
  <si>
    <t>Reading 2</t>
  </si>
  <si>
    <t>Reading 3</t>
  </si>
  <si>
    <t>Average</t>
  </si>
  <si>
    <t>M556 S100 X0.7 Y-0.2 Z0.6</t>
  </si>
  <si>
    <t>Example</t>
  </si>
  <si>
    <t>X value is XY compensation, others involve Z</t>
  </si>
  <si>
    <t>Value</t>
  </si>
  <si>
    <t>RepRap Firmware Adjustment</t>
  </si>
  <si>
    <t>Slicer</t>
  </si>
  <si>
    <t>Fix Size</t>
  </si>
  <si>
    <t>Note: Because of the way excel works, you may find "," and "." get switched for your regional language settings.</t>
  </si>
  <si>
    <t>Red</t>
  </si>
  <si>
    <t>Yellow</t>
  </si>
  <si>
    <t>Green</t>
  </si>
  <si>
    <t>&gt;1mm deviation warning. Double-check your measurement.</t>
  </si>
  <si>
    <t>&lt;1mm deviation. Measurement seems ok. Continue.</t>
  </si>
  <si>
    <t>Steps/mm</t>
  </si>
  <si>
    <t>Current Steps/mm (X)</t>
  </si>
  <si>
    <t>Current Steps/mm (Y)</t>
  </si>
  <si>
    <t>New Steps/mm (X)</t>
  </si>
  <si>
    <t>New Steps/mm (Y)</t>
  </si>
  <si>
    <t>Tips For Implementation</t>
  </si>
  <si>
    <t>If you have quite large skew error (&gt;0.5°), correct this first before doing XY scale compensation.</t>
  </si>
  <si>
    <t>Ensure you have calibration Extuder Step/mm before doing this test.</t>
  </si>
  <si>
    <t>What the Results Mean</t>
  </si>
  <si>
    <t>If X and Y errors are very different from each other, check your steps/mm and belt tension.</t>
  </si>
  <si>
    <t>If you have CoreXY, X and Y are 'locked' to each other so use the average of the two errors.</t>
  </si>
  <si>
    <t>Inner</t>
  </si>
  <si>
    <t>Outer</t>
  </si>
  <si>
    <t>Inner and Outer errors are averages that include X and Y dimensions that may be useful to diagnose over/under extrusion.</t>
  </si>
  <si>
    <t>If inner is negative, and outer is positive, this could indicate over extrusion.</t>
  </si>
  <si>
    <t>If inner is positive, and outer is negative, this could indicate under extrusion.</t>
  </si>
  <si>
    <t>If X and Y errors are both negative, your print is undersize by the percentage shown.</t>
  </si>
  <si>
    <t>If X and Y errors are both positive, your print is oversize by the percentage shown.</t>
  </si>
  <si>
    <t>Rotation Distance</t>
  </si>
  <si>
    <t>Superslicer is the only slicer with Material XY Shrinkage compensation. If you use Cura, PS, ideamaker etc you will have to use steps/mm (or rotation distance) for the printer instead, or remember to scale the print for different materials</t>
  </si>
  <si>
    <t>Ensure you have XYZ Steps/mm set approximately correct before doing this test.</t>
  </si>
  <si>
    <t>Current Rot. Dist. (X)</t>
  </si>
  <si>
    <t>Current Rot. Dist. (Y)</t>
  </si>
  <si>
    <t>New Rot. Dist. (X)</t>
  </si>
  <si>
    <t>New Rot. Dist. (Y)</t>
  </si>
  <si>
    <t>Share</t>
  </si>
  <si>
    <t>Add</t>
  </si>
  <si>
    <t>Send Command</t>
  </si>
  <si>
    <t>to printer.cfg</t>
  </si>
  <si>
    <t xml:space="preserve">[skew_correction] </t>
  </si>
  <si>
    <t>via console</t>
  </si>
  <si>
    <t>SET_SKEW CLEAR=1</t>
  </si>
  <si>
    <t>to config.g</t>
  </si>
  <si>
    <t>to firmware</t>
  </si>
  <si>
    <t>(This spreadsheet is locked to prevent accidental modification)</t>
  </si>
  <si>
    <t>Feel free to share your success and results on twitter, facebook, instagram etc</t>
  </si>
  <si>
    <t>to end of start G code</t>
  </si>
  <si>
    <t>to start of end G code</t>
  </si>
  <si>
    <t>For X and Y see 'Fix Size' below. For skew see 'Fix Skew'</t>
  </si>
  <si>
    <t>Scale</t>
  </si>
  <si>
    <t>(if you have a larger printer, and larger tools, you can print at larger scale)</t>
  </si>
  <si>
    <t>Input your values below</t>
  </si>
  <si>
    <t>&gt;5mm deviation warning. Steps/mm or large measurement error.</t>
  </si>
  <si>
    <t>XY_SKEW_FACTOR : TAN(PI/2-ACOS((AC*AC-AB*AB-AD*AD)/(2*AB*AD)))</t>
  </si>
  <si>
    <t>Compute AB : SQRT(2*AC*AC+2*BD*BD-4*AD*AD)/2</t>
  </si>
  <si>
    <t>From Marlin Firmware:</t>
  </si>
  <si>
    <t>More info on Marlin EEPROM</t>
  </si>
  <si>
    <t>https://marlinfw.org/docs/features/eeprom.html</t>
  </si>
  <si>
    <t>G Code</t>
  </si>
  <si>
    <t>EEPROM</t>
  </si>
  <si>
    <t>M500</t>
  </si>
  <si>
    <t>Marlin G Code</t>
  </si>
  <si>
    <t>#define SKEW_CORRECTION_GCODE</t>
  </si>
  <si>
    <t>Ensure</t>
  </si>
  <si>
    <t>in firmware</t>
  </si>
  <si>
    <t>Marlin G-Code Adjustment</t>
  </si>
  <si>
    <t>Vector 3D Califlower</t>
  </si>
  <si>
    <t>Marlin Firmware Adjustment (alternative)</t>
  </si>
  <si>
    <t>Tag me using @Adam_V3D and use #califlower</t>
  </si>
  <si>
    <t>Measured</t>
  </si>
  <si>
    <t>Super/Orca Slicer</t>
  </si>
  <si>
    <t>SAVE_CONFIG</t>
  </si>
  <si>
    <t>SKEW_PROFILE SAVE=CaliFlower</t>
  </si>
  <si>
    <t>SKEW_PROFILE LOAD=CaliFlower</t>
  </si>
  <si>
    <t>Material XY shinkage Compensation</t>
  </si>
  <si>
    <t>Super/Orca slicer</t>
  </si>
  <si>
    <t>Scaling</t>
  </si>
  <si>
    <t>XY Part Scale (%)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</si>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</sst>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°"/>
    <numFmt numFmtId="165" formatCode="0.000000000"/>
    <numFmt numFmtId="166" formatCode="0.0000"/>
    <numFmt numFmtId="167" formatCode="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theme="2" tint="-0.249977111117893"/>
      </bottom>
      <diagonal/>
    </border>
    <border>
      <left/>
      <right style="double">
        <color theme="2" tint="-0.249977111117893"/>
      </right>
      <top/>
      <bottom/>
      <diagonal/>
    </border>
    <border>
      <left/>
      <right style="double">
        <color theme="2" tint="-0.249977111117893"/>
      </right>
      <top/>
      <bottom style="double">
        <color theme="2" tint="-0.249977111117893"/>
      </bottom>
      <diagonal/>
    </border>
    <border>
      <left style="double">
        <color theme="2" tint="-0.249977111117893"/>
      </left>
      <right/>
      <top/>
      <bottom style="double">
        <color theme="2" tint="-0.249977111117893"/>
      </bottom>
      <diagonal/>
    </border>
    <border>
      <left style="dashed">
        <color theme="2" tint="-0.249977111117893"/>
      </left>
      <right/>
      <top style="dashed">
        <color theme="2" tint="-0.249977111117893"/>
      </top>
      <bottom/>
      <diagonal/>
    </border>
    <border>
      <left/>
      <right/>
      <top style="dashed">
        <color theme="2" tint="-0.249977111117893"/>
      </top>
      <bottom/>
      <diagonal/>
    </border>
    <border>
      <left/>
      <right style="dashed">
        <color theme="2" tint="-0.249977111117893"/>
      </right>
      <top style="dashed">
        <color theme="2" tint="-0.249977111117893"/>
      </top>
      <bottom/>
      <diagonal/>
    </border>
    <border>
      <left style="dashed">
        <color theme="2" tint="-0.249977111117893"/>
      </left>
      <right/>
      <top/>
      <bottom/>
      <diagonal/>
    </border>
    <border>
      <left/>
      <right style="dashed">
        <color theme="2" tint="-0.249977111117893"/>
      </right>
      <top/>
      <bottom/>
      <diagonal/>
    </border>
    <border>
      <left style="dashed">
        <color theme="2" tint="-0.249977111117893"/>
      </left>
      <right/>
      <top/>
      <bottom style="dashed">
        <color theme="2" tint="-0.249977111117893"/>
      </bottom>
      <diagonal/>
    </border>
    <border>
      <left/>
      <right/>
      <top/>
      <bottom style="dashed">
        <color theme="2" tint="-0.249977111117893"/>
      </bottom>
      <diagonal/>
    </border>
    <border>
      <left/>
      <right style="dashed">
        <color theme="2" tint="-0.249977111117893"/>
      </right>
      <top/>
      <bottom style="dashed">
        <color theme="2" tint="-0.249977111117893"/>
      </bottom>
      <diagonal/>
    </border>
    <border>
      <left style="double">
        <color theme="2" tint="-0.249977111117893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77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 applyAlignment="1">
      <alignment horizontal="right"/>
    </xf>
    <xf numFmtId="0" fontId="6" fillId="2" borderId="0" xfId="2"/>
    <xf numFmtId="0" fontId="8" fillId="4" borderId="0" xfId="4"/>
    <xf numFmtId="0" fontId="7" fillId="3" borderId="0" xfId="3"/>
    <xf numFmtId="0" fontId="6" fillId="2" borderId="0" xfId="2" applyAlignment="1">
      <alignment horizontal="center"/>
    </xf>
    <xf numFmtId="0" fontId="8" fillId="4" borderId="0" xfId="4" applyAlignment="1">
      <alignment horizontal="center"/>
    </xf>
    <xf numFmtId="0" fontId="7" fillId="3" borderId="0" xfId="3" applyAlignment="1">
      <alignment horizontal="center"/>
    </xf>
    <xf numFmtId="0" fontId="9" fillId="0" borderId="0" xfId="0" applyFont="1"/>
    <xf numFmtId="0" fontId="10" fillId="0" borderId="0" xfId="0" applyFont="1"/>
    <xf numFmtId="10" fontId="4" fillId="0" borderId="0" xfId="0" applyNumberFormat="1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0" borderId="8" xfId="0" applyFont="1" applyBorder="1" applyAlignment="1">
      <alignment vertical="top"/>
    </xf>
    <xf numFmtId="0" fontId="9" fillId="0" borderId="0" xfId="0" applyFont="1" applyAlignment="1">
      <alignment vertical="top"/>
    </xf>
    <xf numFmtId="0" fontId="0" fillId="0" borderId="9" xfId="0" applyBorder="1" applyAlignment="1">
      <alignment vertical="top"/>
    </xf>
    <xf numFmtId="0" fontId="9" fillId="0" borderId="10" xfId="0" applyFont="1" applyBorder="1" applyAlignment="1">
      <alignment vertical="top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10" fontId="4" fillId="0" borderId="0" xfId="1" applyNumberFormat="1" applyFont="1" applyAlignment="1">
      <alignment horizontal="center"/>
    </xf>
    <xf numFmtId="9" fontId="1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/>
    <xf numFmtId="167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13" xfId="0" applyNumberFormat="1" applyBorder="1" applyAlignment="1" applyProtection="1">
      <alignment horizontal="center"/>
      <protection locked="0"/>
    </xf>
    <xf numFmtId="2" fontId="0" fillId="5" borderId="13" xfId="0" applyNumberFormat="1" applyFill="1" applyBorder="1" applyAlignment="1" applyProtection="1">
      <alignment horizontal="center"/>
      <protection locked="0"/>
    </xf>
    <xf numFmtId="2" fontId="0" fillId="5" borderId="0" xfId="0" applyNumberFormat="1" applyFill="1" applyAlignment="1" applyProtection="1">
      <alignment horizontal="center"/>
      <protection locked="0"/>
    </xf>
    <xf numFmtId="0" fontId="9" fillId="0" borderId="8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3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247650</xdr:rowOff>
    </xdr:from>
    <xdr:to>
      <xdr:col>13</xdr:col>
      <xdr:colOff>47625</xdr:colOff>
      <xdr:row>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398CC6-195E-A830-5EE5-17548426E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247650"/>
          <a:ext cx="4305300" cy="4305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E97B-484C-49CC-958C-1D8C3FE146D4}">
  <dimension ref="A1:Q91"/>
  <sheetViews>
    <sheetView showGridLines="0" tabSelected="1" topLeftCell="A44" zoomScale="115" zoomScaleNormal="115" workbookViewId="0">
      <selection activeCell="D17" sqref="D17"/>
    </sheetView>
  </sheetViews>
  <sheetFormatPr defaultRowHeight="15" x14ac:dyDescent="0.25"/>
  <cols>
    <col min="1" max="1" width="13.28515625" customWidth="1"/>
    <col min="2" max="2" width="17.5703125" customWidth="1"/>
    <col min="3" max="3" width="18.140625" customWidth="1"/>
    <col min="4" max="4" width="18.7109375" customWidth="1"/>
    <col min="5" max="5" width="20.85546875" customWidth="1"/>
  </cols>
  <sheetData>
    <row r="1" spans="1:5" ht="36" x14ac:dyDescent="0.55000000000000004">
      <c r="A1" s="65" t="s">
        <v>97</v>
      </c>
    </row>
    <row r="2" spans="1:5" ht="21" x14ac:dyDescent="0.35">
      <c r="A2" s="64" t="s">
        <v>11</v>
      </c>
    </row>
    <row r="3" spans="1:5" s="23" customFormat="1" ht="18" customHeight="1" x14ac:dyDescent="0.2">
      <c r="A3" s="31" t="s">
        <v>75</v>
      </c>
    </row>
    <row r="4" spans="1:5" s="23" customFormat="1" ht="17.25" customHeight="1" x14ac:dyDescent="0.2">
      <c r="A4" s="31"/>
      <c r="B4" s="56" t="s">
        <v>80</v>
      </c>
      <c r="C4" s="59">
        <v>1</v>
      </c>
    </row>
    <row r="5" spans="1:5" s="23" customFormat="1" ht="17.25" customHeight="1" x14ac:dyDescent="0.2">
      <c r="A5" s="31"/>
      <c r="B5" s="30" t="s">
        <v>81</v>
      </c>
      <c r="D5" s="30"/>
    </row>
    <row r="7" spans="1:5" ht="18.75" customHeight="1" thickBot="1" x14ac:dyDescent="0.4">
      <c r="A7" s="35"/>
      <c r="B7" s="32" t="s">
        <v>24</v>
      </c>
      <c r="C7" s="32" t="s">
        <v>25</v>
      </c>
      <c r="D7" s="34" t="s">
        <v>26</v>
      </c>
      <c r="E7" s="32" t="s">
        <v>27</v>
      </c>
    </row>
    <row r="8" spans="1:5" ht="16.5" thickTop="1" x14ac:dyDescent="0.25">
      <c r="A8" s="33">
        <v>1</v>
      </c>
      <c r="B8" s="68">
        <v>100</v>
      </c>
      <c r="C8" s="63">
        <v>100</v>
      </c>
      <c r="D8" s="63">
        <v>100</v>
      </c>
      <c r="E8" s="13">
        <f>AVERAGE(B8:D8)</f>
        <v>100</v>
      </c>
    </row>
    <row r="9" spans="1:5" ht="15.75" x14ac:dyDescent="0.25">
      <c r="A9" s="33">
        <v>2</v>
      </c>
      <c r="B9" s="69">
        <v>50</v>
      </c>
      <c r="C9" s="70">
        <v>50</v>
      </c>
      <c r="D9" s="70">
        <v>50</v>
      </c>
      <c r="E9" s="13">
        <f t="shared" ref="E9:E17" si="0">AVERAGE(B9:D9)</f>
        <v>50</v>
      </c>
    </row>
    <row r="10" spans="1:5" ht="15.75" x14ac:dyDescent="0.25">
      <c r="A10" s="33">
        <v>3</v>
      </c>
      <c r="B10" s="68">
        <v>100</v>
      </c>
      <c r="C10" s="63">
        <v>100</v>
      </c>
      <c r="D10" s="63">
        <v>100</v>
      </c>
      <c r="E10" s="13">
        <f t="shared" si="0"/>
        <v>100</v>
      </c>
    </row>
    <row r="11" spans="1:5" ht="15.75" x14ac:dyDescent="0.25">
      <c r="A11" s="33">
        <v>4</v>
      </c>
      <c r="B11" s="69">
        <v>50</v>
      </c>
      <c r="C11" s="70">
        <v>50</v>
      </c>
      <c r="D11" s="70">
        <v>50</v>
      </c>
      <c r="E11" s="13">
        <f t="shared" si="0"/>
        <v>50</v>
      </c>
    </row>
    <row r="12" spans="1:5" ht="15.75" x14ac:dyDescent="0.25">
      <c r="A12" s="33">
        <v>5</v>
      </c>
      <c r="B12" s="68">
        <v>100</v>
      </c>
      <c r="C12" s="63">
        <v>100</v>
      </c>
      <c r="D12" s="63">
        <v>100</v>
      </c>
      <c r="E12" s="13">
        <f t="shared" si="0"/>
        <v>100</v>
      </c>
    </row>
    <row r="13" spans="1:5" ht="15.75" x14ac:dyDescent="0.25">
      <c r="A13" s="33">
        <v>6</v>
      </c>
      <c r="B13" s="69">
        <v>50</v>
      </c>
      <c r="C13" s="70">
        <v>50</v>
      </c>
      <c r="D13" s="70">
        <v>50</v>
      </c>
      <c r="E13" s="13">
        <f t="shared" si="0"/>
        <v>50</v>
      </c>
    </row>
    <row r="14" spans="1:5" ht="15.75" x14ac:dyDescent="0.25">
      <c r="A14" s="33">
        <v>7</v>
      </c>
      <c r="B14" s="68">
        <v>100</v>
      </c>
      <c r="C14" s="63">
        <v>100</v>
      </c>
      <c r="D14" s="63">
        <v>100</v>
      </c>
      <c r="E14" s="13">
        <f t="shared" si="0"/>
        <v>100</v>
      </c>
    </row>
    <row r="15" spans="1:5" ht="15.75" x14ac:dyDescent="0.25">
      <c r="A15" s="33">
        <v>8</v>
      </c>
      <c r="B15" s="69">
        <v>50</v>
      </c>
      <c r="C15" s="70">
        <v>50</v>
      </c>
      <c r="D15" s="70">
        <v>50</v>
      </c>
      <c r="E15" s="13">
        <f t="shared" si="0"/>
        <v>50</v>
      </c>
    </row>
    <row r="16" spans="1:5" ht="15.75" x14ac:dyDescent="0.25">
      <c r="A16" s="33">
        <v>9</v>
      </c>
      <c r="B16" s="63">
        <v>100</v>
      </c>
      <c r="C16" s="63">
        <v>100</v>
      </c>
      <c r="D16" s="63">
        <v>90</v>
      </c>
      <c r="E16" s="13">
        <f t="shared" si="0"/>
        <v>96.666666666666671</v>
      </c>
    </row>
    <row r="17" spans="1:17" ht="15.75" x14ac:dyDescent="0.25">
      <c r="A17" s="33">
        <v>10</v>
      </c>
      <c r="B17" s="63">
        <v>100</v>
      </c>
      <c r="C17" s="63">
        <v>100</v>
      </c>
      <c r="D17" s="63">
        <v>100</v>
      </c>
      <c r="E17" s="13">
        <f t="shared" si="0"/>
        <v>100</v>
      </c>
    </row>
    <row r="19" spans="1:17" x14ac:dyDescent="0.25">
      <c r="B19" s="19" t="s">
        <v>38</v>
      </c>
      <c r="C19" s="16" t="s">
        <v>40</v>
      </c>
      <c r="D19" s="16"/>
      <c r="E19" s="16"/>
    </row>
    <row r="20" spans="1:17" x14ac:dyDescent="0.25">
      <c r="B20" s="20" t="s">
        <v>37</v>
      </c>
      <c r="C20" s="17" t="s">
        <v>39</v>
      </c>
      <c r="D20" s="17"/>
      <c r="E20" s="17"/>
    </row>
    <row r="21" spans="1:17" x14ac:dyDescent="0.25">
      <c r="B21" s="21" t="s">
        <v>36</v>
      </c>
      <c r="C21" s="18" t="s">
        <v>83</v>
      </c>
      <c r="D21" s="18"/>
      <c r="E21" s="18"/>
    </row>
    <row r="23" spans="1:17" ht="23.25" x14ac:dyDescent="0.35">
      <c r="A23" s="64" t="s">
        <v>12</v>
      </c>
      <c r="G23" s="44" t="s">
        <v>49</v>
      </c>
      <c r="H23" s="45"/>
      <c r="I23" s="45"/>
      <c r="J23" s="45"/>
      <c r="K23" s="45"/>
      <c r="L23" s="45"/>
      <c r="M23" s="45"/>
      <c r="N23" s="45"/>
      <c r="O23" s="45"/>
      <c r="P23" s="45"/>
      <c r="Q23" s="46"/>
    </row>
    <row r="24" spans="1:17" ht="16.5" thickBot="1" x14ac:dyDescent="0.3">
      <c r="A24" s="36"/>
      <c r="B24" s="38" t="s">
        <v>13</v>
      </c>
      <c r="C24" s="32" t="s">
        <v>4</v>
      </c>
      <c r="G24" s="52" t="s">
        <v>57</v>
      </c>
      <c r="Q24" s="48"/>
    </row>
    <row r="25" spans="1:17" ht="16.5" thickTop="1" x14ac:dyDescent="0.25">
      <c r="A25" s="37" t="s">
        <v>1</v>
      </c>
      <c r="B25" s="6">
        <f>Data!B13</f>
        <v>0</v>
      </c>
      <c r="C25" s="1">
        <f>B25*-1</f>
        <v>0</v>
      </c>
      <c r="G25" s="52" t="s">
        <v>58</v>
      </c>
      <c r="Q25" s="48"/>
    </row>
    <row r="26" spans="1:17" ht="15.75" x14ac:dyDescent="0.25">
      <c r="A26" s="37" t="s">
        <v>2</v>
      </c>
      <c r="B26" s="6">
        <f>Data!C13</f>
        <v>0</v>
      </c>
      <c r="C26" s="1">
        <f>B26*-1</f>
        <v>0</v>
      </c>
      <c r="G26" s="52" t="s">
        <v>50</v>
      </c>
      <c r="Q26" s="48"/>
    </row>
    <row r="27" spans="1:17" ht="15.75" x14ac:dyDescent="0.25">
      <c r="A27" s="2"/>
      <c r="G27" s="52" t="s">
        <v>51</v>
      </c>
      <c r="Q27" s="48"/>
    </row>
    <row r="28" spans="1:17" ht="16.5" thickBot="1" x14ac:dyDescent="0.3">
      <c r="A28" s="36"/>
      <c r="B28" s="32" t="s">
        <v>100</v>
      </c>
      <c r="C28" s="32" t="s">
        <v>4</v>
      </c>
      <c r="G28" s="52" t="s">
        <v>79</v>
      </c>
      <c r="Q28" s="48"/>
    </row>
    <row r="29" spans="1:17" ht="16.5" thickTop="1" x14ac:dyDescent="0.25">
      <c r="A29" s="37" t="s">
        <v>10</v>
      </c>
      <c r="B29" s="9">
        <f>Data!B19</f>
        <v>91.943160407312362</v>
      </c>
      <c r="G29" s="52" t="s">
        <v>54</v>
      </c>
      <c r="Q29" s="48"/>
    </row>
    <row r="30" spans="1:17" ht="15.75" x14ac:dyDescent="0.25">
      <c r="A30" s="37" t="s">
        <v>5</v>
      </c>
      <c r="B30" s="9">
        <f>Data!B20</f>
        <v>1.9431604073123623</v>
      </c>
      <c r="C30" s="9">
        <f>-B30</f>
        <v>-1.9431604073123623</v>
      </c>
      <c r="G30" s="52" t="s">
        <v>55</v>
      </c>
      <c r="Q30" s="48"/>
    </row>
    <row r="31" spans="1:17" ht="15.75" x14ac:dyDescent="0.25">
      <c r="A31" s="10"/>
      <c r="B31" s="9"/>
      <c r="C31" s="9"/>
      <c r="G31" s="55" t="s">
        <v>56</v>
      </c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6.5" thickBot="1" x14ac:dyDescent="0.3">
      <c r="A32" s="36"/>
      <c r="B32" s="32" t="s">
        <v>100</v>
      </c>
      <c r="C32" s="32" t="s">
        <v>4</v>
      </c>
    </row>
    <row r="33" spans="1:15" ht="24" thickTop="1" x14ac:dyDescent="0.35">
      <c r="A33" s="39" t="s">
        <v>52</v>
      </c>
      <c r="B33" s="6">
        <f>Data!D13</f>
        <v>0</v>
      </c>
      <c r="C33" s="1">
        <f>B33*-1</f>
        <v>0</v>
      </c>
      <c r="G33" s="44" t="s">
        <v>46</v>
      </c>
      <c r="H33" s="45"/>
      <c r="I33" s="45"/>
      <c r="J33" s="45"/>
      <c r="K33" s="45"/>
      <c r="L33" s="45"/>
      <c r="M33" s="45"/>
      <c r="N33" s="45"/>
      <c r="O33" s="46"/>
    </row>
    <row r="34" spans="1:15" x14ac:dyDescent="0.25">
      <c r="A34" s="39" t="s">
        <v>53</v>
      </c>
      <c r="B34" s="6">
        <f>Data!E13</f>
        <v>0</v>
      </c>
      <c r="C34" s="1">
        <f>B34*-1</f>
        <v>0</v>
      </c>
      <c r="G34" s="52" t="s">
        <v>48</v>
      </c>
      <c r="H34" s="53"/>
      <c r="I34" s="53"/>
      <c r="J34" s="53"/>
      <c r="K34" s="53"/>
      <c r="L34" s="53"/>
      <c r="M34" s="53"/>
      <c r="N34" s="53"/>
      <c r="O34" s="54"/>
    </row>
    <row r="35" spans="1:15" x14ac:dyDescent="0.25">
      <c r="G35" s="52" t="s">
        <v>61</v>
      </c>
      <c r="H35" s="53"/>
      <c r="I35" s="53"/>
      <c r="J35" s="53"/>
      <c r="K35" s="53"/>
      <c r="L35" s="53"/>
      <c r="M35" s="53"/>
      <c r="N35" s="53"/>
      <c r="O35" s="54"/>
    </row>
    <row r="36" spans="1:15" ht="15" customHeight="1" x14ac:dyDescent="0.35">
      <c r="A36" s="64" t="s">
        <v>23</v>
      </c>
      <c r="G36" s="52" t="s">
        <v>47</v>
      </c>
      <c r="H36" s="53"/>
      <c r="I36" s="53"/>
      <c r="J36" s="53"/>
      <c r="K36" s="53"/>
      <c r="L36" s="53"/>
      <c r="M36" s="53"/>
      <c r="N36" s="53"/>
      <c r="O36" s="54"/>
    </row>
    <row r="37" spans="1:15" ht="15" customHeight="1" x14ac:dyDescent="0.25">
      <c r="A37" s="23" t="s">
        <v>35</v>
      </c>
      <c r="G37" s="71" t="s">
        <v>60</v>
      </c>
      <c r="H37" s="72"/>
      <c r="I37" s="72"/>
      <c r="J37" s="72"/>
      <c r="K37" s="72"/>
      <c r="L37" s="72"/>
      <c r="M37" s="72"/>
      <c r="N37" s="72"/>
      <c r="O37" s="73"/>
    </row>
    <row r="38" spans="1:15" ht="15" customHeight="1" x14ac:dyDescent="0.25">
      <c r="A38" s="7" t="s">
        <v>14</v>
      </c>
      <c r="G38" s="71"/>
      <c r="H38" s="72"/>
      <c r="I38" s="72"/>
      <c r="J38" s="72"/>
      <c r="K38" s="72"/>
      <c r="L38" s="72"/>
      <c r="M38" s="72"/>
      <c r="N38" s="72"/>
      <c r="O38" s="73"/>
    </row>
    <row r="39" spans="1:15" ht="15" customHeight="1" x14ac:dyDescent="0.25">
      <c r="G39" s="74"/>
      <c r="H39" s="75"/>
      <c r="I39" s="75"/>
      <c r="J39" s="75"/>
      <c r="K39" s="75"/>
      <c r="L39" s="75"/>
      <c r="M39" s="75"/>
      <c r="N39" s="75"/>
      <c r="O39" s="76"/>
    </row>
    <row r="40" spans="1:15" x14ac:dyDescent="0.25">
      <c r="B40" s="28" t="s">
        <v>67</v>
      </c>
      <c r="C40" s="60" t="s">
        <v>70</v>
      </c>
      <c r="D40" s="27"/>
      <c r="E40" s="29" t="s">
        <v>69</v>
      </c>
      <c r="G40" s="22"/>
      <c r="H40" s="22"/>
      <c r="I40" s="22"/>
      <c r="J40" s="22"/>
      <c r="K40" s="22"/>
      <c r="L40" s="22"/>
      <c r="M40" s="22"/>
      <c r="N40" s="22"/>
    </row>
    <row r="41" spans="1:15" x14ac:dyDescent="0.25">
      <c r="B41" s="28" t="s">
        <v>68</v>
      </c>
      <c r="C41" s="60" t="str">
        <f>Data!A23</f>
        <v>SET_SKEW XY=96.67,100,70.71</v>
      </c>
      <c r="D41" s="27"/>
      <c r="E41" s="29" t="s">
        <v>71</v>
      </c>
      <c r="H41" s="22"/>
      <c r="I41" s="22"/>
      <c r="J41" s="22"/>
      <c r="K41" s="22"/>
      <c r="L41" s="22"/>
      <c r="M41" s="22"/>
      <c r="N41" s="22"/>
    </row>
    <row r="42" spans="1:15" x14ac:dyDescent="0.25">
      <c r="B42" s="28" t="s">
        <v>68</v>
      </c>
      <c r="C42" s="60" t="str">
        <f>Data!A24</f>
        <v>SKEW_PROFILE SAVE=CaliFlower</v>
      </c>
      <c r="D42" s="27"/>
      <c r="E42" s="29" t="s">
        <v>71</v>
      </c>
      <c r="H42" s="22"/>
      <c r="I42" s="22"/>
      <c r="J42" s="22"/>
      <c r="K42" s="22"/>
      <c r="L42" s="22"/>
      <c r="M42" s="22"/>
      <c r="N42" s="22"/>
    </row>
    <row r="43" spans="1:15" x14ac:dyDescent="0.25">
      <c r="B43" s="28" t="s">
        <v>68</v>
      </c>
      <c r="C43" s="60" t="s">
        <v>102</v>
      </c>
      <c r="D43" s="27"/>
      <c r="E43" s="29" t="s">
        <v>71</v>
      </c>
      <c r="H43" s="22"/>
      <c r="I43" s="22"/>
      <c r="J43" s="22"/>
      <c r="K43" s="22"/>
      <c r="L43" s="22"/>
      <c r="M43" s="22"/>
      <c r="N43" s="22"/>
    </row>
    <row r="44" spans="1:15" x14ac:dyDescent="0.25">
      <c r="B44" s="28" t="s">
        <v>67</v>
      </c>
      <c r="C44" s="60" t="s">
        <v>104</v>
      </c>
      <c r="D44" s="27"/>
      <c r="E44" s="29" t="s">
        <v>77</v>
      </c>
    </row>
    <row r="45" spans="1:15" x14ac:dyDescent="0.25">
      <c r="B45" s="28" t="s">
        <v>67</v>
      </c>
      <c r="C45" s="60" t="s">
        <v>72</v>
      </c>
      <c r="D45" s="27"/>
      <c r="E45" s="29" t="s">
        <v>78</v>
      </c>
    </row>
    <row r="46" spans="1:15" x14ac:dyDescent="0.25">
      <c r="B46" s="27"/>
      <c r="C46" s="27"/>
      <c r="D46" s="27"/>
      <c r="E46" s="27"/>
    </row>
    <row r="47" spans="1:15" x14ac:dyDescent="0.25">
      <c r="A47" s="7" t="s">
        <v>22</v>
      </c>
    </row>
    <row r="49" spans="1:5" x14ac:dyDescent="0.25">
      <c r="B49" s="26" t="s">
        <v>67</v>
      </c>
      <c r="C49" s="12" t="str">
        <f>Data!A28</f>
        <v>if ENABLED(SKEW_CORRECTION)</v>
      </c>
      <c r="E49" s="25" t="s">
        <v>74</v>
      </c>
    </row>
    <row r="50" spans="1:5" x14ac:dyDescent="0.25">
      <c r="B50" s="26" t="s">
        <v>67</v>
      </c>
      <c r="C50" s="12" t="str">
        <f>Data!A29</f>
        <v xml:space="preserve"> define XY_DIAG_AC 96.6667</v>
      </c>
      <c r="E50" s="25" t="s">
        <v>74</v>
      </c>
    </row>
    <row r="51" spans="1:5" x14ac:dyDescent="0.25">
      <c r="B51" s="26" t="s">
        <v>67</v>
      </c>
      <c r="C51" s="12" t="str">
        <f>Data!A30</f>
        <v xml:space="preserve"> define XY_DIAG_BD 100</v>
      </c>
      <c r="E51" s="25" t="s">
        <v>74</v>
      </c>
    </row>
    <row r="52" spans="1:5" x14ac:dyDescent="0.25">
      <c r="B52" s="26" t="s">
        <v>67</v>
      </c>
      <c r="C52" s="12" t="str">
        <f>Data!A31</f>
        <v xml:space="preserve"> define XY_SIDE_AD 70.7107</v>
      </c>
      <c r="E52" s="25" t="s">
        <v>74</v>
      </c>
    </row>
    <row r="53" spans="1:5" x14ac:dyDescent="0.25">
      <c r="B53" s="26"/>
      <c r="E53" s="25"/>
    </row>
    <row r="54" spans="1:5" x14ac:dyDescent="0.25">
      <c r="A54" s="7" t="s">
        <v>98</v>
      </c>
      <c r="B54" s="26"/>
      <c r="E54" s="25"/>
    </row>
    <row r="55" spans="1:5" x14ac:dyDescent="0.25">
      <c r="A55" s="7"/>
      <c r="B55" s="26"/>
      <c r="E55" s="25"/>
    </row>
    <row r="56" spans="1:5" x14ac:dyDescent="0.25">
      <c r="B56" s="26" t="s">
        <v>67</v>
      </c>
      <c r="C56" s="12" t="str">
        <f>Data!A28</f>
        <v>if ENABLED(SKEW_CORRECTION)</v>
      </c>
      <c r="E56" s="25" t="s">
        <v>74</v>
      </c>
    </row>
    <row r="57" spans="1:5" x14ac:dyDescent="0.25">
      <c r="B57" s="26" t="s">
        <v>67</v>
      </c>
      <c r="C57" s="12" t="str">
        <f>Data!A32</f>
        <v xml:space="preserve"> define XY_SKEW_FACTOR -0.065697</v>
      </c>
      <c r="E57" s="25" t="s">
        <v>74</v>
      </c>
    </row>
    <row r="58" spans="1:5" x14ac:dyDescent="0.25">
      <c r="B58" s="26"/>
      <c r="E58" s="25"/>
    </row>
    <row r="59" spans="1:5" x14ac:dyDescent="0.25">
      <c r="B59" s="26"/>
      <c r="E59" s="25"/>
    </row>
    <row r="60" spans="1:5" x14ac:dyDescent="0.25">
      <c r="A60" s="7" t="s">
        <v>96</v>
      </c>
      <c r="B60" s="26"/>
      <c r="E60" s="25"/>
    </row>
    <row r="61" spans="1:5" x14ac:dyDescent="0.25">
      <c r="B61" s="26"/>
      <c r="E61" s="25"/>
    </row>
    <row r="62" spans="1:5" x14ac:dyDescent="0.25">
      <c r="B62" s="28" t="s">
        <v>94</v>
      </c>
      <c r="C62" s="12" t="str">
        <f>Data!B40</f>
        <v>#define SKEW_CORRECTION_GCODE</v>
      </c>
      <c r="E62" s="29" t="s">
        <v>95</v>
      </c>
    </row>
    <row r="63" spans="1:5" x14ac:dyDescent="0.25">
      <c r="B63" s="28" t="s">
        <v>68</v>
      </c>
      <c r="C63" s="12" t="str">
        <f>Data!B41</f>
        <v>M852 I-0.065697</v>
      </c>
      <c r="E63" s="29" t="s">
        <v>71</v>
      </c>
    </row>
    <row r="64" spans="1:5" x14ac:dyDescent="0.25">
      <c r="B64" s="28" t="s">
        <v>68</v>
      </c>
      <c r="C64" s="12" t="str">
        <f>Data!B42</f>
        <v>M500</v>
      </c>
      <c r="E64" s="29" t="s">
        <v>71</v>
      </c>
    </row>
    <row r="65" spans="1:14" x14ac:dyDescent="0.25">
      <c r="E65" s="25"/>
    </row>
    <row r="66" spans="1:14" x14ac:dyDescent="0.25">
      <c r="A66" s="7" t="s">
        <v>32</v>
      </c>
      <c r="E66" s="25"/>
    </row>
    <row r="67" spans="1:14" ht="23.25" x14ac:dyDescent="0.35">
      <c r="E67" s="25"/>
      <c r="G67" s="44" t="s">
        <v>66</v>
      </c>
      <c r="H67" s="45"/>
      <c r="I67" s="45"/>
      <c r="J67" s="45"/>
      <c r="K67" s="45"/>
      <c r="L67" s="45"/>
      <c r="M67" s="45"/>
      <c r="N67" s="46"/>
    </row>
    <row r="68" spans="1:14" x14ac:dyDescent="0.25">
      <c r="B68" s="26" t="s">
        <v>67</v>
      </c>
      <c r="C68" s="12" t="str">
        <f>Data!A47</f>
        <v>M556 S100 X3.393</v>
      </c>
      <c r="E68" s="25" t="s">
        <v>73</v>
      </c>
      <c r="G68" s="47" t="s">
        <v>76</v>
      </c>
      <c r="N68" s="48"/>
    </row>
    <row r="69" spans="1:14" x14ac:dyDescent="0.25">
      <c r="G69" s="49" t="s">
        <v>99</v>
      </c>
      <c r="H69" s="50"/>
      <c r="I69" s="50"/>
      <c r="J69" s="50"/>
      <c r="K69" s="50"/>
      <c r="L69" s="50"/>
      <c r="M69" s="50"/>
      <c r="N69" s="51"/>
    </row>
    <row r="70" spans="1:14" ht="21" x14ac:dyDescent="0.35">
      <c r="A70" s="64" t="s">
        <v>34</v>
      </c>
    </row>
    <row r="71" spans="1:14" x14ac:dyDescent="0.25">
      <c r="A71" s="7" t="s">
        <v>105</v>
      </c>
    </row>
    <row r="73" spans="1:14" x14ac:dyDescent="0.25">
      <c r="B73" s="25" t="s">
        <v>101</v>
      </c>
      <c r="C73" s="63">
        <f>Data!B51</f>
        <v>100</v>
      </c>
    </row>
    <row r="74" spans="1:14" x14ac:dyDescent="0.25">
      <c r="B74" s="25" t="s">
        <v>109</v>
      </c>
      <c r="C74" s="63"/>
    </row>
    <row r="75" spans="1:14" x14ac:dyDescent="0.25">
      <c r="B75" s="25" t="s">
        <v>108</v>
      </c>
      <c r="C75" s="63">
        <f>Data!B52</f>
        <v>100</v>
      </c>
    </row>
    <row r="77" spans="1:14" x14ac:dyDescent="0.25">
      <c r="A77" s="7" t="s">
        <v>41</v>
      </c>
    </row>
    <row r="78" spans="1:14" ht="15.75" thickBot="1" x14ac:dyDescent="0.3">
      <c r="B78" s="36"/>
      <c r="C78" s="41" t="s">
        <v>82</v>
      </c>
    </row>
    <row r="79" spans="1:14" ht="15.75" thickTop="1" x14ac:dyDescent="0.25">
      <c r="B79" s="40" t="s">
        <v>42</v>
      </c>
      <c r="C79" s="11">
        <v>100</v>
      </c>
    </row>
    <row r="80" spans="1:14" x14ac:dyDescent="0.25">
      <c r="B80" s="40" t="s">
        <v>43</v>
      </c>
      <c r="C80" s="11">
        <v>100</v>
      </c>
      <c r="E80" s="3"/>
    </row>
    <row r="81" spans="1:5" x14ac:dyDescent="0.25">
      <c r="B81" s="42"/>
      <c r="C81" s="43"/>
    </row>
    <row r="82" spans="1:5" x14ac:dyDescent="0.25">
      <c r="B82" s="40" t="s">
        <v>44</v>
      </c>
      <c r="C82" s="13">
        <f>Data!B55</f>
        <v>100</v>
      </c>
      <c r="E82" s="3"/>
    </row>
    <row r="83" spans="1:5" x14ac:dyDescent="0.25">
      <c r="B83" s="40" t="s">
        <v>45</v>
      </c>
      <c r="C83" s="13">
        <f>Data!B56</f>
        <v>100</v>
      </c>
    </row>
    <row r="85" spans="1:5" x14ac:dyDescent="0.25">
      <c r="A85" s="7" t="s">
        <v>59</v>
      </c>
    </row>
    <row r="86" spans="1:5" ht="15.75" thickBot="1" x14ac:dyDescent="0.3">
      <c r="C86" s="41" t="s">
        <v>82</v>
      </c>
    </row>
    <row r="87" spans="1:5" ht="15.75" thickTop="1" x14ac:dyDescent="0.25">
      <c r="B87" s="40" t="s">
        <v>62</v>
      </c>
      <c r="C87" s="11">
        <v>100</v>
      </c>
    </row>
    <row r="88" spans="1:5" x14ac:dyDescent="0.25">
      <c r="B88" s="40" t="s">
        <v>63</v>
      </c>
      <c r="C88" s="11">
        <v>100</v>
      </c>
    </row>
    <row r="89" spans="1:5" x14ac:dyDescent="0.25">
      <c r="B89" s="42"/>
      <c r="C89" s="43"/>
    </row>
    <row r="90" spans="1:5" x14ac:dyDescent="0.25">
      <c r="B90" s="40" t="s">
        <v>64</v>
      </c>
      <c r="C90" s="13">
        <f>Data!B59</f>
        <v>100</v>
      </c>
    </row>
    <row r="91" spans="1:5" x14ac:dyDescent="0.25">
      <c r="B91" s="40" t="s">
        <v>65</v>
      </c>
      <c r="C91" s="13">
        <f>Data!B60</f>
        <v>100</v>
      </c>
    </row>
  </sheetData>
  <sheetProtection algorithmName="SHA-512" hashValue="CAfA9i7Wnx5G19zHt3uQBHg9iErfWsKfiFeewQaDrvatGMrSBVnPvXK4B+12TnlmQXyCkkGChKqfX0gxWK9Djg==" saltValue="p8jlj8noYQCxvnMeleCsZA==" spinCount="100000" sheet="1" selectLockedCells="1"/>
  <mergeCells count="1">
    <mergeCell ref="G37:O39"/>
  </mergeCells>
  <dataValidations count="9">
    <dataValidation type="decimal" allowBlank="1" showInputMessage="1" showErrorMessage="1" error="Value must be a decimal between 0 and 1000." sqref="B8:D17" xr:uid="{BE9BBFCB-54E2-4770-A024-3B093AFE1E50}">
      <formula1>0</formula1>
      <formula2>1000</formula2>
    </dataValidation>
    <dataValidation type="decimal" allowBlank="1" showInputMessage="1" showErrorMessage="1" error="Value must be a decimal between 0 and 1000" sqref="E8:E17 B8:D15" xr:uid="{B472615A-7525-47C8-9D81-57C829B0E66D}">
      <formula1>0</formula1>
      <formula2>1000</formula2>
    </dataValidation>
    <dataValidation type="decimal" operator="greaterThanOrEqual" allowBlank="1" showInputMessage="1" showErrorMessage="1" sqref="C4" xr:uid="{B7C0342B-D0D4-4BD6-BC61-65F7E740179C}">
      <formula1>0.75</formula1>
    </dataValidation>
    <dataValidation type="decimal" operator="greaterThan" allowBlank="1" showErrorMessage="1" errorTitle="Input Error" error="Value must be a decimal greater than zero." sqref="C79:C80 C87:C88" xr:uid="{4BB98C11-7154-4A59-BE7A-36977238CCF6}">
      <formula1>0</formula1>
    </dataValidation>
    <dataValidation type="custom" allowBlank="1" showInputMessage="1" showErrorMessage="1" error="Value cannot be changed" sqref="C40" xr:uid="{B8CBCE9F-F2E2-46B2-8A25-416D31142379}">
      <formula1>"[skew_correction] "</formula1>
    </dataValidation>
    <dataValidation allowBlank="1" showInputMessage="1" showErrorMessage="1" error="Value cannot be changed." sqref="C44" xr:uid="{7D7F7660-8054-4DB0-ABC5-9E659BBC2CC7}"/>
    <dataValidation type="custom" allowBlank="1" showInputMessage="1" showErrorMessage="1" error="Value cannot be changed." sqref="C45" xr:uid="{B34A5EF7-BE6F-4D93-92B0-41AAEA0846DB}">
      <formula1>"SET_SKEW CLEAR=1"</formula1>
    </dataValidation>
    <dataValidation type="custom" allowBlank="1" showInputMessage="1" showErrorMessage="1" sqref="E80" xr:uid="{416CF6E0-8020-4B89-B75A-12D215C4BD6C}">
      <formula1>C73</formula1>
    </dataValidation>
    <dataValidation allowBlank="1" showInputMessage="1" showErrorMessage="1" error="Cell cannot be changed" sqref="C56:C57 C43" xr:uid="{037EDE8A-4BF1-4334-A8FA-E570A539E051}"/>
  </dataValidations>
  <pageMargins left="0.7" right="0.7" top="0.75" bottom="0.75" header="0.3" footer="0.3"/>
  <pageSetup paperSize="9" orientation="portrait" r:id="rId1"/>
  <ignoredErrors>
    <ignoredError sqref="E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6" operator="between" id="{41D1CF1C-0FC6-414D-BD3C-0572790C250D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lessThan" id="{0F9CDE9F-7F5D-4BD9-BF9D-07B3FF01CDC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operator="greaterThan" id="{FDA8D922-53D8-4B6A-907F-32CD3ACD8315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9" operator="greaterThan" id="{E8822CDC-04C0-440F-8E17-FD76B45410CB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lessThan" id="{126C8726-A0B2-4A77-BF16-ABE9F3DDEF7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196" operator="greaterThan" id="{4BC8C20D-915B-44CD-8800-A8B85DC7600D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7" operator="lessThan" id="{CA524CFB-3C63-4C88-BC65-570F567E210F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operator="between" id="{14C2AA31-1BB7-4FFF-BB92-7FCC7BD586E3}">
            <xm:f>Data!$B$3-1</xm:f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" operator="greaterThan" id="{388D4A60-1896-4840-9560-E5CC1375DF0A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0" operator="lessThan" id="{E1D81BE5-DAC8-499C-AA69-052DB87DE645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21" operator="between" id="{5C9E9ACC-0DC6-4215-9BF0-61D27EA443D0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lessThan" id="{D19D69E9-BAEC-4999-92E3-54621D016D31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" operator="greaterThan" id="{8846911E-EC83-402B-8FF4-BB8BD6B1952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70F40A85-AA7A-4C63-9287-8DAB8403DEE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lessThan" id="{03D0BD08-3CB4-4265-8A8C-1C8EDC0261F2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6" operator="between" id="{2894BEAB-2DAD-458A-BC6B-E01575C24C37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lessThan" id="{17CDBDDD-16A8-40CD-ACBD-C68B4908D59F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operator="greaterThan" id="{5689B7E5-89CF-4370-9425-05C056332A2A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00C72CED-C9CC-428C-B514-5A9C54702B5D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lessThan" id="{2386A60B-9049-4E39-9060-1F963583874D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11" operator="between" id="{B2D514ED-B6F0-497F-8BDC-58A8887A9A5F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lessThan" id="{504CE3E0-7526-421C-8425-2035F52C853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" operator="greaterThan" id="{EC108F54-0523-4A21-B41E-4506191AC96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8C6A391B-69C6-41FD-AF49-F3EC1DCF9CD7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5" operator="lessThan" id="{E6ED0314-F163-4D38-BA77-C8C7DDC94AC8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1" operator="between" id="{3668FE04-B59F-4A72-82EC-FA0FA91C039B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lessThan" id="{A89B3335-839D-44F0-A80C-3F4A47441C5A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greaterThan" id="{A1E8D399-C39D-4DF7-AB0A-4B87AF20BBC6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E3DACB5C-5519-469A-9964-620AB6F8F5B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lessThan" id="{DF75F3DE-7E44-4514-932C-7F9B02B721FA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custom" allowBlank="1" showInputMessage="1" showErrorMessage="1" error="Value cannot be changed." xr:uid="{66338A11-5A1F-494D-BD0A-D272EEA8F84E}">
          <x14:formula1>
            <xm:f>Data!B59</xm:f>
          </x14:formula1>
          <xm:sqref>C90:C91</xm:sqref>
        </x14:dataValidation>
        <x14:dataValidation type="custom" allowBlank="1" showInputMessage="1" showErrorMessage="1" xr:uid="{8FE0C271-023A-412E-B589-8B9F5600BD38}">
          <x14:formula1>
            <xm:f>Data!B55</xm:f>
          </x14:formula1>
          <xm:sqref>E82</xm:sqref>
        </x14:dataValidation>
        <x14:dataValidation type="custom" allowBlank="1" showInputMessage="1" showErrorMessage="1" error="Value Cannot be changed" xr:uid="{B468D42B-2447-42DD-A399-717EDD3CC897}">
          <x14:formula1>
            <xm:f>Data!A47</xm:f>
          </x14:formula1>
          <xm:sqref>C68</xm:sqref>
        </x14:dataValidation>
        <x14:dataValidation type="custom" allowBlank="1" showInputMessage="1" showErrorMessage="1" error="Value cannot be changed" xr:uid="{DB200DE5-6221-494D-884F-97D84C6A60C4}">
          <x14:formula1>
            <xm:f>Data!B51</xm:f>
          </x14:formula1>
          <xm:sqref>C73:C74</xm:sqref>
        </x14:dataValidation>
        <x14:dataValidation type="custom" allowBlank="1" showInputMessage="1" showErrorMessage="1" error="Value cannot be changed" xr:uid="{65515F96-4513-483A-94C9-3C8A36B58237}">
          <x14:formula1>
            <xm:f>Data!B52</xm:f>
          </x14:formula1>
          <xm:sqref>C75</xm:sqref>
        </x14:dataValidation>
        <x14:dataValidation type="custom" allowBlank="1" showInputMessage="1" showErrorMessage="1" xr:uid="{12E43A77-CF54-4160-92EB-B1F040888DAF}">
          <x14:formula1>
            <xm:f>Data!B40</xm:f>
          </x14:formula1>
          <xm:sqref>C62:C64</xm:sqref>
        </x14:dataValidation>
        <x14:dataValidation type="custom" allowBlank="1" showInputMessage="1" showErrorMessage="1" error="Cell cannot be changed" xr:uid="{7E30B05E-5ACD-42BB-BFEC-B4DC6DCAEF73}">
          <x14:formula1>
            <xm:f>Data!A34</xm:f>
          </x14:formula1>
          <xm:sqref>C61</xm:sqref>
        </x14:dataValidation>
        <x14:dataValidation type="custom" allowBlank="1" showInputMessage="1" showErrorMessage="1" error="Cell cannot be changed" xr:uid="{2A4E004B-611F-4DDA-B44E-7131AC1B32E7}">
          <x14:formula1>
            <xm:f>Data!A32</xm:f>
          </x14:formula1>
          <xm:sqref>C58:C59</xm:sqref>
        </x14:dataValidation>
        <x14:dataValidation type="custom" allowBlank="1" showInputMessage="1" showErrorMessage="1" error="Cell cannot be changed" xr:uid="{3A704FD7-B5E3-45A2-82E2-2894FB6A806E}">
          <x14:formula1>
            <xm:f>Data!A28</xm:f>
          </x14:formula1>
          <xm:sqref>C49:C55</xm:sqref>
        </x14:dataValidation>
        <x14:dataValidation type="custom" allowBlank="1" showInputMessage="1" showErrorMessage="1" error="Cell cannot be changed" xr:uid="{251D9C43-042A-42D9-BC28-E50295A9ACBE}">
          <x14:formula1>
            <xm:f>Data!A23</xm:f>
          </x14:formula1>
          <xm:sqref>C41:C42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14C2-2CC2-465E-A1D4-A42848F58353}">
  <dimension ref="A1:I60"/>
  <sheetViews>
    <sheetView zoomScaleNormal="100" workbookViewId="0">
      <selection activeCell="B47" sqref="B47"/>
    </sheetView>
  </sheetViews>
  <sheetFormatPr defaultRowHeight="15" x14ac:dyDescent="0.25"/>
  <cols>
    <col min="1" max="1" width="11.5703125" customWidth="1"/>
    <col min="2" max="2" width="14.28515625" customWidth="1"/>
    <col min="3" max="3" width="14.42578125" customWidth="1"/>
    <col min="5" max="5" width="9.140625" customWidth="1"/>
    <col min="9" max="9" width="14.42578125" bestFit="1" customWidth="1"/>
  </cols>
  <sheetData>
    <row r="1" spans="1:5" ht="15.75" x14ac:dyDescent="0.25">
      <c r="B1" s="7" t="s">
        <v>0</v>
      </c>
      <c r="C1" s="8" t="s">
        <v>3</v>
      </c>
    </row>
    <row r="2" spans="1:5" x14ac:dyDescent="0.25">
      <c r="A2" s="7">
        <v>1</v>
      </c>
      <c r="B2">
        <f>100*scale</f>
        <v>100</v>
      </c>
      <c r="C2" s="4">
        <f>(Calculator!E8-Data!B2)/B2</f>
        <v>0</v>
      </c>
    </row>
    <row r="3" spans="1:5" x14ac:dyDescent="0.25">
      <c r="A3" s="7">
        <v>2</v>
      </c>
      <c r="B3">
        <f>50*scale</f>
        <v>50</v>
      </c>
      <c r="C3" s="4">
        <f>(Calculator!E9-Data!B3)/B3</f>
        <v>0</v>
      </c>
    </row>
    <row r="4" spans="1:5" x14ac:dyDescent="0.25">
      <c r="A4" s="7">
        <v>3</v>
      </c>
      <c r="B4">
        <f>100*scale</f>
        <v>100</v>
      </c>
      <c r="C4" s="4">
        <f>(Calculator!E10-Data!B4)/B4</f>
        <v>0</v>
      </c>
    </row>
    <row r="5" spans="1:5" x14ac:dyDescent="0.25">
      <c r="A5" s="7">
        <v>4</v>
      </c>
      <c r="B5">
        <f>50*scale</f>
        <v>50</v>
      </c>
      <c r="C5" s="4">
        <f>(Calculator!E11-Data!B5)/B5</f>
        <v>0</v>
      </c>
    </row>
    <row r="6" spans="1:5" x14ac:dyDescent="0.25">
      <c r="A6" s="7">
        <v>5</v>
      </c>
      <c r="B6">
        <f>100*scale</f>
        <v>100</v>
      </c>
      <c r="C6" s="4">
        <f>(Calculator!E12-Data!B6)/B6</f>
        <v>0</v>
      </c>
    </row>
    <row r="7" spans="1:5" x14ac:dyDescent="0.25">
      <c r="A7" s="7">
        <v>6</v>
      </c>
      <c r="B7">
        <f>50*scale</f>
        <v>50</v>
      </c>
      <c r="C7" s="4">
        <f>(Calculator!E13-Data!B7)/B7</f>
        <v>0</v>
      </c>
    </row>
    <row r="8" spans="1:5" x14ac:dyDescent="0.25">
      <c r="A8" s="7">
        <v>7</v>
      </c>
      <c r="B8">
        <f>100*scale</f>
        <v>100</v>
      </c>
      <c r="C8" s="4">
        <f>(Calculator!E14-Data!B8)/B8</f>
        <v>0</v>
      </c>
    </row>
    <row r="9" spans="1:5" x14ac:dyDescent="0.25">
      <c r="A9" s="7">
        <v>8</v>
      </c>
      <c r="B9">
        <f>50*scale</f>
        <v>50</v>
      </c>
      <c r="C9" s="4">
        <f>(Calculator!E15-Data!B9)/B9</f>
        <v>0</v>
      </c>
    </row>
    <row r="10" spans="1:5" x14ac:dyDescent="0.25">
      <c r="C10" s="4"/>
      <c r="E10" s="5"/>
    </row>
    <row r="11" spans="1:5" x14ac:dyDescent="0.25">
      <c r="C11" s="4"/>
      <c r="E11" s="5"/>
    </row>
    <row r="12" spans="1:5" x14ac:dyDescent="0.25">
      <c r="B12" s="57" t="s">
        <v>1</v>
      </c>
      <c r="C12" s="58" t="s">
        <v>2</v>
      </c>
      <c r="D12" s="57" t="s">
        <v>52</v>
      </c>
      <c r="E12" s="24" t="s">
        <v>53</v>
      </c>
    </row>
    <row r="13" spans="1:5" x14ac:dyDescent="0.25">
      <c r="A13" t="s">
        <v>27</v>
      </c>
      <c r="B13" s="6">
        <f>AVERAGE(C2:C5)</f>
        <v>0</v>
      </c>
      <c r="C13" s="6">
        <f>AVERAGE(C6:C9)</f>
        <v>0</v>
      </c>
      <c r="D13" s="6">
        <f>AVERAGE(C4:C5,C8:C9)</f>
        <v>0</v>
      </c>
      <c r="E13" s="6">
        <f>AVERAGE(C2:C3,C6:C7)</f>
        <v>0</v>
      </c>
    </row>
    <row r="14" spans="1:5" x14ac:dyDescent="0.25">
      <c r="C14" s="4"/>
      <c r="E14" s="5"/>
    </row>
    <row r="15" spans="1:5" x14ac:dyDescent="0.25">
      <c r="C15" s="4"/>
      <c r="E15" s="5"/>
    </row>
    <row r="17" spans="1:3" x14ac:dyDescent="0.25">
      <c r="A17" t="s">
        <v>6</v>
      </c>
      <c r="B17" s="3">
        <f>50*SQRT(2)*(1+B13)*Calculator!C4</f>
        <v>70.710678118654755</v>
      </c>
      <c r="C17" s="15"/>
    </row>
    <row r="18" spans="1:3" x14ac:dyDescent="0.25">
      <c r="A18" t="s">
        <v>7</v>
      </c>
      <c r="B18" s="3">
        <f>SQRT(((Calculator!E16^2)+(Calculator!E17^2)-2*(B17^2))/2)</f>
        <v>68.353655514699597</v>
      </c>
      <c r="C18" s="15"/>
    </row>
    <row r="19" spans="1:3" x14ac:dyDescent="0.25">
      <c r="A19" t="s">
        <v>10</v>
      </c>
      <c r="B19" s="3">
        <f>DEGREES(ACOS(((Calculator!E16^2)-(B17^2)-(B18^2))/(2*B17*B18)))</f>
        <v>91.943160407312362</v>
      </c>
      <c r="C19" s="15"/>
    </row>
    <row r="20" spans="1:3" x14ac:dyDescent="0.25">
      <c r="A20" t="s">
        <v>5</v>
      </c>
      <c r="B20" s="3">
        <f>B19-90</f>
        <v>1.9431604073123623</v>
      </c>
      <c r="C20" s="15"/>
    </row>
    <row r="22" spans="1:3" x14ac:dyDescent="0.25">
      <c r="A22" s="7" t="s">
        <v>8</v>
      </c>
    </row>
    <row r="23" spans="1:3" x14ac:dyDescent="0.25">
      <c r="A23" t="str">
        <f>"SET_SKEW XY="&amp;ROUND(Calculator!E16,2)&amp;","&amp;ROUND(Calculator!E17,2)&amp;","&amp;ROUND(B17,2)</f>
        <v>SET_SKEW XY=96.67,100,70.71</v>
      </c>
    </row>
    <row r="24" spans="1:3" x14ac:dyDescent="0.25">
      <c r="A24" t="s">
        <v>103</v>
      </c>
    </row>
    <row r="25" spans="1:3" x14ac:dyDescent="0.25">
      <c r="A25" t="s">
        <v>9</v>
      </c>
    </row>
    <row r="27" spans="1:3" x14ac:dyDescent="0.25">
      <c r="A27" s="7" t="s">
        <v>15</v>
      </c>
    </row>
    <row r="28" spans="1:3" x14ac:dyDescent="0.25">
      <c r="A28" t="s">
        <v>17</v>
      </c>
    </row>
    <row r="29" spans="1:3" x14ac:dyDescent="0.25">
      <c r="A29" t="str">
        <f>" define XY_DIAG_AC " &amp; ROUND(Calculator!E16,4)</f>
        <v xml:space="preserve"> define XY_DIAG_AC 96.6667</v>
      </c>
    </row>
    <row r="30" spans="1:3" x14ac:dyDescent="0.25">
      <c r="A30" t="str">
        <f>" define XY_DIAG_BD " &amp; ROUND(Calculator!E17,4)</f>
        <v xml:space="preserve"> define XY_DIAG_BD 100</v>
      </c>
    </row>
    <row r="31" spans="1:3" x14ac:dyDescent="0.25">
      <c r="A31" t="str">
        <f>" define XY_SIDE_AD "&amp;ROUND(B17,4)</f>
        <v xml:space="preserve"> define XY_SIDE_AD 70.7107</v>
      </c>
    </row>
    <row r="32" spans="1:3" x14ac:dyDescent="0.25">
      <c r="A32" t="str">
        <f>IFERROR(" define XY_SKEW_FACTOR " &amp; ROUND(B37,6),"ERROR")</f>
        <v xml:space="preserve"> define XY_SKEW_FACTOR -0.065697</v>
      </c>
    </row>
    <row r="34" spans="1:9" x14ac:dyDescent="0.25">
      <c r="A34" t="s">
        <v>19</v>
      </c>
      <c r="B34" s="3">
        <f>Calculator!E16</f>
        <v>96.666666666666671</v>
      </c>
      <c r="C34" s="15"/>
      <c r="F34" t="s">
        <v>86</v>
      </c>
    </row>
    <row r="35" spans="1:9" x14ac:dyDescent="0.25">
      <c r="A35" t="s">
        <v>20</v>
      </c>
      <c r="B35" s="3">
        <f>50*SQRT(2)*(1+C13)*Calculator!C4</f>
        <v>70.710678118654755</v>
      </c>
      <c r="C35" s="15"/>
      <c r="F35" t="s">
        <v>85</v>
      </c>
    </row>
    <row r="36" spans="1:9" x14ac:dyDescent="0.25">
      <c r="A36" t="s">
        <v>21</v>
      </c>
      <c r="B36" s="3">
        <f>B17</f>
        <v>70.710678118654755</v>
      </c>
      <c r="C36" s="15"/>
      <c r="F36" t="s">
        <v>84</v>
      </c>
    </row>
    <row r="37" spans="1:9" x14ac:dyDescent="0.25">
      <c r="A37" t="s">
        <v>18</v>
      </c>
      <c r="B37" s="66">
        <f>IFERROR(TAN(PI()/2-ACOS(((B34^2)-(B35^2)-(B36^2))/(2*B35*B36))),"ERROR")</f>
        <v>-6.569687472330514E-2</v>
      </c>
      <c r="C37" s="67"/>
      <c r="I37" s="61"/>
    </row>
    <row r="39" spans="1:9" x14ac:dyDescent="0.25">
      <c r="A39" s="7" t="s">
        <v>92</v>
      </c>
    </row>
    <row r="40" spans="1:9" x14ac:dyDescent="0.25">
      <c r="A40" s="7"/>
      <c r="B40" s="12" t="s">
        <v>93</v>
      </c>
    </row>
    <row r="41" spans="1:9" x14ac:dyDescent="0.25">
      <c r="A41" t="s">
        <v>89</v>
      </c>
      <c r="B41" t="str">
        <f>"M852 I"&amp;ROUND(B37,6)</f>
        <v>M852 I-0.065697</v>
      </c>
      <c r="F41" t="s">
        <v>87</v>
      </c>
    </row>
    <row r="42" spans="1:9" x14ac:dyDescent="0.25">
      <c r="A42" t="s">
        <v>90</v>
      </c>
      <c r="B42" t="s">
        <v>91</v>
      </c>
      <c r="F42" t="s">
        <v>88</v>
      </c>
    </row>
    <row r="44" spans="1:9" x14ac:dyDescent="0.25">
      <c r="A44" s="7" t="s">
        <v>16</v>
      </c>
    </row>
    <row r="45" spans="1:9" x14ac:dyDescent="0.25">
      <c r="A45" t="s">
        <v>29</v>
      </c>
      <c r="B45" t="s">
        <v>28</v>
      </c>
      <c r="F45" t="s">
        <v>30</v>
      </c>
    </row>
    <row r="46" spans="1:9" x14ac:dyDescent="0.25">
      <c r="A46" t="s">
        <v>31</v>
      </c>
      <c r="B46" s="62">
        <f>100*TAN(RADIANS(B19-90))</f>
        <v>3.3927555784825127</v>
      </c>
    </row>
    <row r="47" spans="1:9" x14ac:dyDescent="0.25">
      <c r="A47" t="str">
        <f>"M556 S100 X"&amp; ROUND(B46,3)</f>
        <v>M556 S100 X3.393</v>
      </c>
    </row>
    <row r="50" spans="1:2" x14ac:dyDescent="0.25">
      <c r="A50" s="7" t="s">
        <v>33</v>
      </c>
    </row>
    <row r="51" spans="1:2" x14ac:dyDescent="0.25">
      <c r="A51" t="s">
        <v>106</v>
      </c>
      <c r="B51" s="14">
        <f>ROUND((1+AVERAGE(B13,C13))*100,2)</f>
        <v>100</v>
      </c>
    </row>
    <row r="52" spans="1:2" x14ac:dyDescent="0.25">
      <c r="A52" t="s">
        <v>107</v>
      </c>
      <c r="B52" s="15">
        <f>ROUND((1-AVERAGE(B13,C13))*100,2)</f>
        <v>100</v>
      </c>
    </row>
    <row r="54" spans="1:2" x14ac:dyDescent="0.25">
      <c r="A54" s="7" t="s">
        <v>41</v>
      </c>
    </row>
    <row r="55" spans="1:2" x14ac:dyDescent="0.25">
      <c r="A55" t="s">
        <v>1</v>
      </c>
      <c r="B55" s="3">
        <f>Calculator!C79*(1-Data!B13)</f>
        <v>100</v>
      </c>
    </row>
    <row r="56" spans="1:2" x14ac:dyDescent="0.25">
      <c r="A56" t="s">
        <v>2</v>
      </c>
      <c r="B56" s="3">
        <f>Calculator!C80*(1-Data!C13)</f>
        <v>100</v>
      </c>
    </row>
    <row r="58" spans="1:2" x14ac:dyDescent="0.25">
      <c r="A58" s="7" t="s">
        <v>59</v>
      </c>
    </row>
    <row r="59" spans="1:2" x14ac:dyDescent="0.25">
      <c r="A59" t="s">
        <v>1</v>
      </c>
      <c r="B59" s="14">
        <f>(1+B13)*Calculator!C87</f>
        <v>100</v>
      </c>
    </row>
    <row r="60" spans="1:2" x14ac:dyDescent="0.25">
      <c r="A60" t="s">
        <v>2</v>
      </c>
      <c r="B60" s="14">
        <f>(1+C13)*Calculator!C88</f>
        <v>100</v>
      </c>
    </row>
  </sheetData>
  <sheetProtection algorithmName="SHA-512" hashValue="NOt2oCpVGB3+er8HA5iNiWWvvh9e/3wh3RrBD9WBLfYismtXNcedCufUXnFwx4jADs1nwfHulukgkHsrDLr13w==" saltValue="PmztP2BebP9RIsnAdorNoA==" spinCount="100000" sheet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Data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Meadows</dc:creator>
  <cp:lastModifiedBy>Adam Meadows</cp:lastModifiedBy>
  <dcterms:created xsi:type="dcterms:W3CDTF">2021-12-10T19:35:57Z</dcterms:created>
  <dcterms:modified xsi:type="dcterms:W3CDTF">2024-02-01T09:01:31Z</dcterms:modified>
</cp:coreProperties>
</file>