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525" yWindow="0" windowWidth="14895" windowHeight="8205" activeTab="1"/>
  </bookViews>
  <sheets>
    <sheet name="display" sheetId="1" r:id="rId1"/>
    <sheet name="uptake" sheetId="2" r:id="rId2"/>
    <sheet name="density" sheetId="3" r:id="rId3"/>
    <sheet name="table-uptake" sheetId="6" r:id="rId4"/>
    <sheet name="economic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" l="1"/>
  <c r="G29" i="6"/>
  <c r="C24" i="6"/>
  <c r="C25" i="6"/>
  <c r="C26" i="6"/>
  <c r="C27" i="6"/>
  <c r="C28" i="6"/>
  <c r="C29" i="6"/>
  <c r="C30" i="6"/>
  <c r="C31" i="6"/>
  <c r="C23" i="6"/>
  <c r="C17" i="6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5" i="3"/>
  <c r="G15" i="3"/>
  <c r="F15" i="3"/>
  <c r="D15" i="3"/>
  <c r="G11" i="3"/>
  <c r="G12" i="3"/>
  <c r="G10" i="3"/>
  <c r="G30" i="3"/>
  <c r="E15" i="3"/>
  <c r="G29" i="3" l="1"/>
  <c r="G22" i="3"/>
  <c r="G21" i="3"/>
  <c r="G28" i="3"/>
  <c r="G19" i="3"/>
  <c r="G18" i="3"/>
  <c r="G20" i="3"/>
  <c r="G27" i="3"/>
  <c r="G26" i="3"/>
  <c r="G25" i="3"/>
  <c r="G17" i="3"/>
  <c r="G24" i="3"/>
  <c r="G16" i="3"/>
  <c r="G23" i="3"/>
  <c r="H23" i="6"/>
  <c r="G50" i="2" l="1"/>
  <c r="H25" i="2"/>
  <c r="A13" i="6" l="1"/>
  <c r="A23" i="6"/>
  <c r="A26" i="6"/>
  <c r="A29" i="6"/>
  <c r="G22" i="6"/>
  <c r="A25" i="6"/>
  <c r="A28" i="6"/>
  <c r="A31" i="6"/>
  <c r="A24" i="6"/>
  <c r="A27" i="6"/>
  <c r="A30" i="6"/>
  <c r="E22" i="6"/>
  <c r="D22" i="6"/>
  <c r="F22" i="6"/>
  <c r="A22" i="6"/>
  <c r="A11" i="6"/>
  <c r="A14" i="6"/>
  <c r="A17" i="6"/>
  <c r="A16" i="6"/>
  <c r="A19" i="6"/>
  <c r="A12" i="6"/>
  <c r="A15" i="6"/>
  <c r="A18" i="6"/>
  <c r="D10" i="6"/>
  <c r="C10" i="6"/>
  <c r="A10" i="6"/>
  <c r="B7" i="6"/>
  <c r="B6" i="6"/>
  <c r="B5" i="6"/>
  <c r="B4" i="6"/>
  <c r="B3" i="6"/>
  <c r="B2" i="6"/>
  <c r="C3" i="6"/>
  <c r="D3" i="6"/>
  <c r="C4" i="6"/>
  <c r="D4" i="6"/>
  <c r="C5" i="6"/>
  <c r="D5" i="6"/>
  <c r="C6" i="6"/>
  <c r="D6" i="6"/>
  <c r="C7" i="6"/>
  <c r="D7" i="6"/>
  <c r="C2" i="6"/>
  <c r="D2" i="6"/>
  <c r="B43" i="2"/>
  <c r="B44" i="2" s="1"/>
  <c r="G5" i="2"/>
  <c r="H5" i="2" s="1"/>
  <c r="F2" i="6" s="1"/>
  <c r="F27" i="2"/>
  <c r="F33" i="2" s="1"/>
  <c r="F30" i="2" s="1"/>
  <c r="F26" i="2"/>
  <c r="F32" i="2" s="1"/>
  <c r="F29" i="2" s="1"/>
  <c r="F25" i="2"/>
  <c r="F31" i="2" s="1"/>
  <c r="F28" i="2" s="1"/>
  <c r="E27" i="2"/>
  <c r="E33" i="2" s="1"/>
  <c r="E30" i="2" s="1"/>
  <c r="E26" i="2"/>
  <c r="E32" i="2" s="1"/>
  <c r="E29" i="2" s="1"/>
  <c r="E25" i="2"/>
  <c r="E31" i="2" s="1"/>
  <c r="E28" i="2" s="1"/>
  <c r="B27" i="2"/>
  <c r="C52" i="2" s="1"/>
  <c r="B26" i="2"/>
  <c r="C51" i="2" s="1"/>
  <c r="B25" i="2"/>
  <c r="C50" i="2" s="1"/>
  <c r="C27" i="2"/>
  <c r="C33" i="2" s="1"/>
  <c r="C30" i="2" s="1"/>
  <c r="B18" i="6" s="1"/>
  <c r="C26" i="2"/>
  <c r="C32" i="2" s="1"/>
  <c r="C29" i="2" s="1"/>
  <c r="B15" i="6" s="1"/>
  <c r="C25" i="2"/>
  <c r="C31" i="2" s="1"/>
  <c r="C28" i="2" s="1"/>
  <c r="B12" i="6" s="1"/>
  <c r="B43" i="1"/>
  <c r="D30" i="1" s="1"/>
  <c r="E30" i="1" s="1"/>
  <c r="F30" i="1" s="1"/>
  <c r="H30" i="1" s="1"/>
  <c r="B40" i="1"/>
  <c r="D20" i="1" s="1"/>
  <c r="D21" i="1" s="1"/>
  <c r="D22" i="1" s="1"/>
  <c r="B39" i="1"/>
  <c r="C25" i="1"/>
  <c r="C24" i="1"/>
  <c r="C23" i="1"/>
  <c r="C19" i="1"/>
  <c r="J28" i="2" l="1"/>
  <c r="J30" i="2"/>
  <c r="B17" i="6"/>
  <c r="J29" i="2"/>
  <c r="B19" i="6"/>
  <c r="B16" i="6"/>
  <c r="E2" i="6"/>
  <c r="B11" i="6"/>
  <c r="B13" i="6"/>
  <c r="J25" i="2"/>
  <c r="B14" i="6"/>
  <c r="J32" i="2"/>
  <c r="J27" i="2"/>
  <c r="J31" i="2"/>
  <c r="J33" i="2"/>
  <c r="J26" i="2"/>
  <c r="B31" i="2"/>
  <c r="C56" i="2" s="1"/>
  <c r="D50" i="2"/>
  <c r="B33" i="2"/>
  <c r="C58" i="2" s="1"/>
  <c r="B32" i="2"/>
  <c r="C57" i="2" s="1"/>
  <c r="D17" i="1"/>
  <c r="D18" i="1" s="1"/>
  <c r="E18" i="1" s="1"/>
  <c r="F18" i="1" s="1"/>
  <c r="H18" i="1" s="1"/>
  <c r="D31" i="1"/>
  <c r="E31" i="1" s="1"/>
  <c r="F31" i="1" s="1"/>
  <c r="H31" i="1" s="1"/>
  <c r="D32" i="1"/>
  <c r="E32" i="1" s="1"/>
  <c r="F32" i="1" s="1"/>
  <c r="H32" i="1" s="1"/>
  <c r="D23" i="1"/>
  <c r="D28" i="1"/>
  <c r="D33" i="1"/>
  <c r="E33" i="1" s="1"/>
  <c r="F33" i="1" s="1"/>
  <c r="H33" i="1" s="1"/>
  <c r="D26" i="1"/>
  <c r="D27" i="1" s="1"/>
  <c r="D13" i="1"/>
  <c r="E13" i="1" s="1"/>
  <c r="F13" i="1" s="1"/>
  <c r="H13" i="1" s="1"/>
  <c r="F12" i="3"/>
  <c r="F11" i="3"/>
  <c r="E12" i="3"/>
  <c r="E11" i="3"/>
  <c r="E10" i="3"/>
  <c r="F10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E17" i="3"/>
  <c r="D17" i="3"/>
  <c r="E16" i="3"/>
  <c r="D16" i="3"/>
  <c r="E7" i="3"/>
  <c r="D7" i="3"/>
  <c r="E6" i="3"/>
  <c r="D6" i="3"/>
  <c r="E5" i="3"/>
  <c r="D5" i="3"/>
  <c r="E15" i="2"/>
  <c r="E14" i="2"/>
  <c r="E13" i="2"/>
  <c r="D15" i="2"/>
  <c r="D14" i="2"/>
  <c r="D13" i="2"/>
  <c r="F10" i="2"/>
  <c r="F9" i="2"/>
  <c r="F8" i="2"/>
  <c r="F7" i="2"/>
  <c r="E52" i="2" s="1"/>
  <c r="F6" i="2"/>
  <c r="E51" i="2" s="1"/>
  <c r="F5" i="2"/>
  <c r="E50" i="2" s="1"/>
  <c r="K50" i="2" l="1"/>
  <c r="D56" i="2"/>
  <c r="F50" i="2"/>
  <c r="E56" i="2"/>
  <c r="F52" i="2"/>
  <c r="E58" i="2"/>
  <c r="F51" i="2"/>
  <c r="E57" i="2"/>
  <c r="B28" i="2"/>
  <c r="C53" i="2" s="1"/>
  <c r="B29" i="2"/>
  <c r="C54" i="2" s="1"/>
  <c r="B30" i="2"/>
  <c r="C55" i="2" s="1"/>
  <c r="I5" i="2"/>
  <c r="G2" i="6" s="1"/>
  <c r="D14" i="1"/>
  <c r="D19" i="1"/>
  <c r="E17" i="1"/>
  <c r="F17" i="1" s="1"/>
  <c r="H17" i="1" s="1"/>
  <c r="D29" i="1"/>
  <c r="E29" i="1" s="1"/>
  <c r="F29" i="1" s="1"/>
  <c r="H29" i="1" s="1"/>
  <c r="E28" i="1"/>
  <c r="F28" i="1" s="1"/>
  <c r="H28" i="1" s="1"/>
  <c r="E23" i="1"/>
  <c r="F23" i="1" s="1"/>
  <c r="H23" i="1" s="1"/>
  <c r="D24" i="1"/>
  <c r="D25" i="1" s="1"/>
  <c r="D15" i="1"/>
  <c r="E14" i="1"/>
  <c r="F14" i="1" s="1"/>
  <c r="H14" i="1" s="1"/>
  <c r="E19" i="1"/>
  <c r="F19" i="1" s="1"/>
  <c r="H19" i="1" s="1"/>
  <c r="G10" i="2"/>
  <c r="G9" i="2"/>
  <c r="G8" i="2"/>
  <c r="G7" i="2"/>
  <c r="E4" i="6" s="1"/>
  <c r="G6" i="2"/>
  <c r="E3" i="6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E54" i="2" l="1"/>
  <c r="E55" i="2"/>
  <c r="E53" i="2"/>
  <c r="I50" i="2"/>
  <c r="I52" i="2"/>
  <c r="I51" i="2"/>
  <c r="H8" i="2"/>
  <c r="F5" i="6" s="1"/>
  <c r="E5" i="6"/>
  <c r="D53" i="2"/>
  <c r="H9" i="2"/>
  <c r="F6" i="6" s="1"/>
  <c r="E6" i="6"/>
  <c r="F57" i="2"/>
  <c r="H10" i="2"/>
  <c r="F7" i="6" s="1"/>
  <c r="E7" i="6"/>
  <c r="F56" i="2"/>
  <c r="F58" i="2"/>
  <c r="D25" i="2"/>
  <c r="K25" i="2" s="1"/>
  <c r="L25" i="2" s="1"/>
  <c r="D11" i="6" s="1"/>
  <c r="H6" i="2"/>
  <c r="F3" i="6" s="1"/>
  <c r="H7" i="2"/>
  <c r="F4" i="6" s="1"/>
  <c r="E24" i="1"/>
  <c r="F24" i="1" s="1"/>
  <c r="H24" i="1" s="1"/>
  <c r="D16" i="1"/>
  <c r="E16" i="1" s="1"/>
  <c r="F16" i="1" s="1"/>
  <c r="H16" i="1" s="1"/>
  <c r="E15" i="1"/>
  <c r="F15" i="1" s="1"/>
  <c r="H15" i="1" s="1"/>
  <c r="E20" i="1"/>
  <c r="F20" i="1" s="1"/>
  <c r="H20" i="1" s="1"/>
  <c r="E25" i="1"/>
  <c r="F25" i="1" s="1"/>
  <c r="H25" i="1" s="1"/>
  <c r="I56" i="2" l="1"/>
  <c r="I8" i="2"/>
  <c r="G5" i="6" s="1"/>
  <c r="I57" i="2"/>
  <c r="F55" i="2"/>
  <c r="N50" i="2"/>
  <c r="D23" i="6" s="1"/>
  <c r="F53" i="2"/>
  <c r="F54" i="2"/>
  <c r="I10" i="2"/>
  <c r="G7" i="6" s="1"/>
  <c r="J50" i="2"/>
  <c r="S50" i="2"/>
  <c r="K53" i="2"/>
  <c r="I9" i="2"/>
  <c r="G6" i="6" s="1"/>
  <c r="I58" i="2"/>
  <c r="G56" i="2"/>
  <c r="K56" i="2"/>
  <c r="I25" i="2"/>
  <c r="C11" i="6" s="1"/>
  <c r="I7" i="2"/>
  <c r="G4" i="6" s="1"/>
  <c r="D27" i="2"/>
  <c r="K27" i="2" s="1"/>
  <c r="L27" i="2" s="1"/>
  <c r="D17" i="6" s="1"/>
  <c r="D52" i="2"/>
  <c r="I6" i="2"/>
  <c r="G3" i="6" s="1"/>
  <c r="D51" i="2"/>
  <c r="D26" i="2"/>
  <c r="K26" i="2" s="1"/>
  <c r="L26" i="2" s="1"/>
  <c r="D14" i="6" s="1"/>
  <c r="D31" i="2"/>
  <c r="K31" i="2" s="1"/>
  <c r="L31" i="2" s="1"/>
  <c r="D13" i="6" s="1"/>
  <c r="E22" i="1"/>
  <c r="F22" i="1" s="1"/>
  <c r="H22" i="1" s="1"/>
  <c r="E21" i="1"/>
  <c r="F21" i="1" s="1"/>
  <c r="H21" i="1" s="1"/>
  <c r="E27" i="1"/>
  <c r="F27" i="1" s="1"/>
  <c r="H27" i="1" s="1"/>
  <c r="E26" i="1"/>
  <c r="F26" i="1" s="1"/>
  <c r="H26" i="1" s="1"/>
  <c r="I54" i="2" l="1"/>
  <c r="M50" i="2"/>
  <c r="E23" i="6" s="1"/>
  <c r="N56" i="2"/>
  <c r="D25" i="6" s="1"/>
  <c r="I55" i="2"/>
  <c r="I53" i="2"/>
  <c r="G53" i="2"/>
  <c r="J56" i="2"/>
  <c r="H56" i="2"/>
  <c r="S56" i="2"/>
  <c r="H25" i="6" s="1"/>
  <c r="L50" i="2"/>
  <c r="D57" i="2"/>
  <c r="D58" i="2"/>
  <c r="G51" i="2"/>
  <c r="K51" i="2"/>
  <c r="G52" i="2"/>
  <c r="K52" i="2"/>
  <c r="D33" i="2"/>
  <c r="K33" i="2" s="1"/>
  <c r="L33" i="2" s="1"/>
  <c r="D19" i="6" s="1"/>
  <c r="H27" i="2"/>
  <c r="I27" i="2" s="1"/>
  <c r="H31" i="2"/>
  <c r="I31" i="2" s="1"/>
  <c r="C13" i="6" s="1"/>
  <c r="D28" i="2"/>
  <c r="H26" i="2"/>
  <c r="I26" i="2" s="1"/>
  <c r="C14" i="6" s="1"/>
  <c r="D32" i="2"/>
  <c r="K32" i="2" s="1"/>
  <c r="L32" i="2" s="1"/>
  <c r="D16" i="6" s="1"/>
  <c r="M56" i="2" l="1"/>
  <c r="E25" i="6" s="1"/>
  <c r="N52" i="2"/>
  <c r="D29" i="6" s="1"/>
  <c r="N51" i="2"/>
  <c r="D26" i="6" s="1"/>
  <c r="S53" i="2"/>
  <c r="H24" i="6" s="1"/>
  <c r="H53" i="2"/>
  <c r="J53" i="2"/>
  <c r="G58" i="2"/>
  <c r="O50" i="2"/>
  <c r="F23" i="6" s="1"/>
  <c r="N53" i="2"/>
  <c r="D24" i="6" s="1"/>
  <c r="S51" i="2"/>
  <c r="H26" i="6" s="1"/>
  <c r="D54" i="2"/>
  <c r="L56" i="2"/>
  <c r="K57" i="2"/>
  <c r="J58" i="2"/>
  <c r="H58" i="2"/>
  <c r="G57" i="2"/>
  <c r="Q50" i="2"/>
  <c r="D55" i="2"/>
  <c r="J52" i="2"/>
  <c r="H52" i="2"/>
  <c r="K58" i="2"/>
  <c r="J51" i="2"/>
  <c r="H51" i="2"/>
  <c r="S52" i="2"/>
  <c r="H29" i="6" s="1"/>
  <c r="K54" i="2"/>
  <c r="G54" i="2"/>
  <c r="H28" i="2"/>
  <c r="I28" i="2" s="1"/>
  <c r="C12" i="6" s="1"/>
  <c r="K28" i="2"/>
  <c r="L28" i="2" s="1"/>
  <c r="D12" i="6" s="1"/>
  <c r="Q56" i="2"/>
  <c r="K55" i="2"/>
  <c r="G55" i="2"/>
  <c r="H32" i="2"/>
  <c r="I32" i="2" s="1"/>
  <c r="C16" i="6" s="1"/>
  <c r="D29" i="2"/>
  <c r="D30" i="2"/>
  <c r="H33" i="2"/>
  <c r="I33" i="2" s="1"/>
  <c r="C19" i="6" s="1"/>
  <c r="S58" i="2" l="1"/>
  <c r="H31" i="6" s="1"/>
  <c r="N55" i="2"/>
  <c r="D30" i="6" s="1"/>
  <c r="M52" i="2"/>
  <c r="E29" i="6" s="1"/>
  <c r="O56" i="2"/>
  <c r="F25" i="6" s="1"/>
  <c r="N58" i="2"/>
  <c r="D31" i="6" s="1"/>
  <c r="N54" i="2"/>
  <c r="D27" i="6" s="1"/>
  <c r="S57" i="2"/>
  <c r="H28" i="6" s="1"/>
  <c r="M51" i="2"/>
  <c r="E26" i="6" s="1"/>
  <c r="M58" i="2"/>
  <c r="E31" i="6" s="1"/>
  <c r="M53" i="2"/>
  <c r="E24" i="6" s="1"/>
  <c r="L53" i="2"/>
  <c r="N57" i="2"/>
  <c r="D28" i="6" s="1"/>
  <c r="L52" i="2"/>
  <c r="Q52" i="2" s="1"/>
  <c r="J55" i="2"/>
  <c r="H55" i="2"/>
  <c r="J54" i="2"/>
  <c r="H54" i="2"/>
  <c r="R50" i="2"/>
  <c r="G23" i="6" s="1"/>
  <c r="R56" i="2"/>
  <c r="G25" i="6" s="1"/>
  <c r="J57" i="2"/>
  <c r="H57" i="2"/>
  <c r="L58" i="2"/>
  <c r="L51" i="2"/>
  <c r="S55" i="2"/>
  <c r="H30" i="6" s="1"/>
  <c r="S54" i="2"/>
  <c r="H27" i="6" s="1"/>
  <c r="H29" i="2"/>
  <c r="I29" i="2" s="1"/>
  <c r="C15" i="6" s="1"/>
  <c r="K29" i="2"/>
  <c r="L29" i="2" s="1"/>
  <c r="D15" i="6" s="1"/>
  <c r="H30" i="2"/>
  <c r="I30" i="2" s="1"/>
  <c r="C18" i="6" s="1"/>
  <c r="K30" i="2"/>
  <c r="L30" i="2" s="1"/>
  <c r="D18" i="6" s="1"/>
  <c r="O58" i="2" l="1"/>
  <c r="F31" i="6" s="1"/>
  <c r="M55" i="2"/>
  <c r="E30" i="6" s="1"/>
  <c r="O52" i="2"/>
  <c r="F29" i="6" s="1"/>
  <c r="O53" i="2"/>
  <c r="F24" i="6" s="1"/>
  <c r="Q53" i="2"/>
  <c r="M57" i="2"/>
  <c r="E28" i="6" s="1"/>
  <c r="O51" i="2"/>
  <c r="F26" i="6" s="1"/>
  <c r="M54" i="2"/>
  <c r="E27" i="6" s="1"/>
  <c r="Q51" i="2"/>
  <c r="L57" i="2"/>
  <c r="L55" i="2"/>
  <c r="R52" i="2"/>
  <c r="L54" i="2"/>
  <c r="Q58" i="2"/>
  <c r="R51" i="2" l="1"/>
  <c r="G26" i="6" s="1"/>
  <c r="O54" i="2"/>
  <c r="F27" i="6" s="1"/>
  <c r="O55" i="2"/>
  <c r="F30" i="6" s="1"/>
  <c r="O57" i="2"/>
  <c r="F28" i="6" s="1"/>
  <c r="R53" i="2"/>
  <c r="G24" i="6" s="1"/>
  <c r="R58" i="2"/>
  <c r="G31" i="6" s="1"/>
  <c r="Q57" i="2"/>
  <c r="Q54" i="2"/>
  <c r="Q55" i="2"/>
  <c r="R54" i="2" l="1"/>
  <c r="G27" i="6" s="1"/>
  <c r="R57" i="2"/>
  <c r="G28" i="6" s="1"/>
  <c r="R55" i="2"/>
  <c r="G30" i="6" s="1"/>
</calcChain>
</file>

<file path=xl/sharedStrings.xml><?xml version="1.0" encoding="utf-8"?>
<sst xmlns="http://schemas.openxmlformats.org/spreadsheetml/2006/main" count="340" uniqueCount="187">
  <si>
    <t>lambda_OD</t>
  </si>
  <si>
    <t>cells/mL</t>
  </si>
  <si>
    <t>N_A</t>
  </si>
  <si>
    <t>volume</t>
  </si>
  <si>
    <t>capture (#)</t>
  </si>
  <si>
    <t>capture (moles)</t>
  </si>
  <si>
    <t>capture (Molarity)</t>
  </si>
  <si>
    <t>volume (mL)</t>
  </si>
  <si>
    <t>OD (per mL)</t>
  </si>
  <si>
    <t>expression (#)</t>
  </si>
  <si>
    <t>binders (#)</t>
  </si>
  <si>
    <t>normal</t>
  </si>
  <si>
    <t>high exp</t>
  </si>
  <si>
    <t>high binder</t>
  </si>
  <si>
    <t>high OD</t>
  </si>
  <si>
    <t>#/mol</t>
  </si>
  <si>
    <t>uptake (Molarity)</t>
  </si>
  <si>
    <t>diameter (um)</t>
  </si>
  <si>
    <t>high uptake</t>
  </si>
  <si>
    <t>low uptake</t>
  </si>
  <si>
    <t>med uptake</t>
  </si>
  <si>
    <t>more cells</t>
  </si>
  <si>
    <t>high exp &amp; binder</t>
  </si>
  <si>
    <t>high exp &amp; binder &amp; OD</t>
  </si>
  <si>
    <t>larger cell</t>
  </si>
  <si>
    <t>large &amp; more cells</t>
  </si>
  <si>
    <t>Na</t>
  </si>
  <si>
    <t>K</t>
  </si>
  <si>
    <t>Mg</t>
  </si>
  <si>
    <t>Mn</t>
  </si>
  <si>
    <t>Ca</t>
  </si>
  <si>
    <t>Cu</t>
  </si>
  <si>
    <t>Zn</t>
  </si>
  <si>
    <t>https://www.pnas.org/content/pnas/107/3/999.full.pdf</t>
  </si>
  <si>
    <t>reference</t>
  </si>
  <si>
    <t>diameter</t>
  </si>
  <si>
    <t>G1</t>
  </si>
  <si>
    <t>async</t>
  </si>
  <si>
    <t>mitosis</t>
  </si>
  <si>
    <t>volume (um^3)</t>
  </si>
  <si>
    <t>density (low)</t>
  </si>
  <si>
    <t>density (high)</t>
  </si>
  <si>
    <t>diameter (low)</t>
  </si>
  <si>
    <t>diameter (high)</t>
  </si>
  <si>
    <t>volume (high)</t>
  </si>
  <si>
    <t>volume (low) (um^3)</t>
  </si>
  <si>
    <t>http://book.bionumbers.org/what-are-the-concentrations-of-different-ions-in-cells/</t>
  </si>
  <si>
    <t>30-300</t>
  </si>
  <si>
    <t>sea water</t>
  </si>
  <si>
    <t>bacteria</t>
  </si>
  <si>
    <t>yeast</t>
  </si>
  <si>
    <t>30-100</t>
  </si>
  <si>
    <t>VOLUME/DENSITY</t>
  </si>
  <si>
    <t>CONCENTRATIONS</t>
  </si>
  <si>
    <t>ASSUMPTIONS</t>
  </si>
  <si>
    <t>OD</t>
  </si>
  <si>
    <t>MW</t>
  </si>
  <si>
    <t>Co</t>
  </si>
  <si>
    <t>Ni</t>
  </si>
  <si>
    <t>Cd</t>
  </si>
  <si>
    <t>Hg</t>
  </si>
  <si>
    <t>Pb</t>
  </si>
  <si>
    <t>UPTAKE
(per cell)</t>
  </si>
  <si>
    <t>MASS CHANGE
(per cell)</t>
  </si>
  <si>
    <t>Mass</t>
  </si>
  <si>
    <t>mass (g)</t>
  </si>
  <si>
    <t>assumption 1</t>
  </si>
  <si>
    <t>assumption 2</t>
  </si>
  <si>
    <t>assumption 3</t>
  </si>
  <si>
    <t>Change</t>
  </si>
  <si>
    <t>PUBLICATIONS</t>
  </si>
  <si>
    <t>DISPLAY</t>
  </si>
  <si>
    <t>exp*bind</t>
  </si>
  <si>
    <t>binders</t>
  </si>
  <si>
    <t>exp</t>
  </si>
  <si>
    <t>ref</t>
  </si>
  <si>
    <t>https://aem.asm.org/content/aem/64/10/4068.full.pdf</t>
  </si>
  <si>
    <t>notes</t>
  </si>
  <si>
    <t>https://bionumbers.hms.harvard.edu/bionumber.aspx?id=109836</t>
  </si>
  <si>
    <t>1.7 g/L (wet)</t>
  </si>
  <si>
    <t>0.39 g/L (dry)</t>
  </si>
  <si>
    <t>http://www.labtools.us/bacterial-cell-number-od600/</t>
  </si>
  <si>
    <t>relationship</t>
  </si>
  <si>
    <t>1 OD = 8e8 cells/mL</t>
  </si>
  <si>
    <t>bacteria mg (wet) -&gt; #</t>
  </si>
  <si>
    <t># cells / mg (wet)</t>
  </si>
  <si>
    <t>mol per cell</t>
  </si>
  <si>
    <t>number of cells</t>
  </si>
  <si>
    <t>PARAMETER VALUES</t>
  </si>
  <si>
    <t>from paper
(amount)</t>
  </si>
  <si>
    <t>https://aem.asm.org/content/69/6/3176.short</t>
  </si>
  <si>
    <t>link</t>
  </si>
  <si>
    <t>\cite{pazirandeh1998}</t>
  </si>
  <si>
    <t>\cite{bae2003}</t>
  </si>
  <si>
    <t>&gt; 5 uM @ 1 OD
&gt; expressing</t>
  </si>
  <si>
    <t>&gt; 5 uM @ 1 OD
&gt; control</t>
  </si>
  <si>
    <t>&gt; 5 uM @ 1 OD
&gt; fractionated to membrane only</t>
  </si>
  <si>
    <t>&gt; 20 uM @ OD 0.3 for 4 hours
&gt; numbers based on graph
&gt; pLH2 (lambB anchor)</t>
  </si>
  <si>
    <t>\cite{sousa1996a}</t>
  </si>
  <si>
    <t>https://www.nature.com/articles/nbt0896-1017.pdf</t>
  </si>
  <si>
    <t>&gt; 20 uM @ OD 0.3 for 4 hours
&gt; numbers based on graph
&gt; pLH1 (lambB anchor)</t>
  </si>
  <si>
    <t>&gt; 20 uM @ OD 0.3 for 4 hours
&gt; numbers based on graph
&gt; control</t>
  </si>
  <si>
    <t>https://www.future-science.com/doi/pdf/10.2144/02323st08</t>
  </si>
  <si>
    <t>&gt; 10.5 ug/mg</t>
  </si>
  <si>
    <t>&gt; 1.22 ug/mg</t>
  </si>
  <si>
    <t>&gt; 3.37 ug/mg</t>
  </si>
  <si>
    <t>https://link.springer.com/article/10.1007/s00253-003-1399-z</t>
  </si>
  <si>
    <t>&gt; yeast
&gt; YMT</t>
  </si>
  <si>
    <t>&gt; bacteria
&gt; YMT</t>
  </si>
  <si>
    <t>&gt; bacteria
&gt; 6xHis</t>
  </si>
  <si>
    <t>&gt; yeast
&gt; 6xHis</t>
  </si>
  <si>
    <t>1OD = 1e7 cells/mL</t>
  </si>
  <si>
    <t># cells / mg (dry)</t>
  </si>
  <si>
    <t>0.62 g/L (dry)</t>
  </si>
  <si>
    <t>https://bionumbers.hms.harvard.edu/bionumber.aspx?id=111182</t>
  </si>
  <si>
    <t>https://bionumbers.hms.harvard.edu/bionumber.aspx?id=100986&amp;ver=3</t>
  </si>
  <si>
    <t>bacteria mg (dry) -&gt; #</t>
  </si>
  <si>
    <t>yeast mg (dry) -&gt; #</t>
  </si>
  <si>
    <r>
      <t xml:space="preserve">&gt; 1 liter -&gt; 10 mL
&gt; 100 mg into 30 mL
&gt; units of nmol/mg </t>
    </r>
    <r>
      <rPr>
        <b/>
        <sz val="11"/>
        <color theme="1"/>
        <rFont val="Calibri"/>
        <family val="2"/>
        <scheme val="minor"/>
      </rPr>
      <t>(wet)</t>
    </r>
  </si>
  <si>
    <t>\cite{kuroda2003}</t>
  </si>
  <si>
    <t>\cite{yoshida2002}</t>
  </si>
  <si>
    <t>&gt; yeast
&gt; 6xHis
&gt; Highest value is reported</t>
  </si>
  <si>
    <t>\cite{kuroda2001}</t>
  </si>
  <si>
    <t>https://link.springer.com/content/pdf/10.1007%2Fs002530100813.pdf</t>
  </si>
  <si>
    <t>&gt; yeast
&gt; metallothioneins
&gt; needed to be estimated, all values were releative in paper
&gt; control was 2.26 nmol/mg</t>
  </si>
  <si>
    <t>\cite{kuroda2006}</t>
  </si>
  <si>
    <t>https://link.springer.com/content/pdf/10.1007%2Fs00253-005-0093-8.pdf</t>
  </si>
  <si>
    <t>&gt; yeast display with GFP6xHis
&gt; reporting highest values in Table 1
&gt; units are nmol/mg cell protein</t>
  </si>
  <si>
    <t>\cite{ruta2017a}</t>
  </si>
  <si>
    <t>https://link.springer.com/content/pdf/10.1007%2Fs00253-017-8335-0.pdf</t>
  </si>
  <si>
    <t>yeast protein
percentage</t>
  </si>
  <si>
    <t>https://bionumbers.hms.harvard.edu/bionumber.aspx?id=104157&amp;ver=1</t>
  </si>
  <si>
    <t>DENSITY CHANGE 
(VOLUME SAME)</t>
  </si>
  <si>
    <t>metal</t>
  </si>
  <si>
    <t>key (from above table)</t>
  </si>
  <si>
    <t>capture
(moles/cell)</t>
  </si>
  <si>
    <t>density change</t>
  </si>
  <si>
    <t>original density
(g/mL)</t>
  </si>
  <si>
    <t>Sr</t>
  </si>
  <si>
    <t>DENSITY CHANGE 
(VOLUME CHANGE)</t>
  </si>
  <si>
    <t>Assumptions</t>
  </si>
  <si>
    <t>solution molarity</t>
  </si>
  <si>
    <t>mM</t>
  </si>
  <si>
    <t>http://book.bionumbers.org/what-are-the-concentrations-of-free-metabolites-in-cells/</t>
  </si>
  <si>
    <t>free metabolites (bacteria)</t>
  </si>
  <si>
    <t>https://tel.archives-ouvertes.fr/tel-00864602/document</t>
  </si>
  <si>
    <t>iso-osmotic</t>
  </si>
  <si>
    <t>MPa</t>
  </si>
  <si>
    <t>wild (average)</t>
  </si>
  <si>
    <t>atm_pascals</t>
  </si>
  <si>
    <t>atm to pascals</t>
  </si>
  <si>
    <t>temperature</t>
  </si>
  <si>
    <t>K (or 30C)</t>
  </si>
  <si>
    <t>R</t>
  </si>
  <si>
    <t>L atm per mol per K</t>
  </si>
  <si>
    <t>key (from above)</t>
  </si>
  <si>
    <t>uptake per cell
(moles)</t>
  </si>
  <si>
    <t>Vo (um^3)</t>
  </si>
  <si>
    <t>Vo (L)</t>
  </si>
  <si>
    <t>PI_constant</t>
  </si>
  <si>
    <t>note:</t>
  </si>
  <si>
    <t>mass gain is from water</t>
  </si>
  <si>
    <t>mass gained
(from water)</t>
  </si>
  <si>
    <t>mass gained
(from metal)</t>
  </si>
  <si>
    <t>total mass gain</t>
  </si>
  <si>
    <t>new density
(g/mL)</t>
  </si>
  <si>
    <t>density
percent change</t>
  </si>
  <si>
    <t>Vnew (L)
calculated = RTMi</t>
  </si>
  <si>
    <t>density of water</t>
  </si>
  <si>
    <t>g/mL</t>
  </si>
  <si>
    <t>mass change</t>
  </si>
  <si>
    <t>original mass</t>
  </si>
  <si>
    <t>new mass</t>
  </si>
  <si>
    <t>Volume change</t>
  </si>
  <si>
    <t>capture (Molarity) (mM)
assuming constant volume</t>
  </si>
  <si>
    <t>new molarity
(taken from above values)</t>
  </si>
  <si>
    <t>VOLUME
(SAME)</t>
  </si>
  <si>
    <t>uptake (uM)</t>
  </si>
  <si>
    <t>mass change from water</t>
  </si>
  <si>
    <t>mass change from metal</t>
  </si>
  <si>
    <t>mass change overall</t>
  </si>
  <si>
    <t>molarity (mM)</t>
  </si>
  <si>
    <t>density percent change</t>
  </si>
  <si>
    <t>density (g/mL)</t>
  </si>
  <si>
    <t>density change (density + delM/volume)</t>
  </si>
  <si>
    <t xml:space="preserve"> </t>
  </si>
  <si>
    <t>volume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</si>
</sst>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nmol/mg&quot;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9" fontId="0" fillId="0" borderId="0" xfId="1" applyFont="1"/>
    <xf numFmtId="0" fontId="3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5" fillId="0" borderId="0" xfId="2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1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10" fontId="0" fillId="0" borderId="0" xfId="0" applyNumberFormat="1" applyBorder="1" applyAlignment="1">
      <alignment vertical="center"/>
    </xf>
    <xf numFmtId="0" fontId="0" fillId="0" borderId="0" xfId="0" applyFont="1" applyAlignment="1">
      <alignment vertical="center" wrapText="1"/>
    </xf>
    <xf numFmtId="9" fontId="0" fillId="0" borderId="1" xfId="1" applyFont="1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0" borderId="1" xfId="0" applyNumberFormat="1" applyFont="1" applyBorder="1" applyAlignment="1">
      <alignment wrapText="1"/>
    </xf>
    <xf numFmtId="10" fontId="6" fillId="0" borderId="1" xfId="1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0" fillId="0" borderId="0" xfId="1" applyNumberFormat="1" applyFont="1"/>
    <xf numFmtId="0" fontId="6" fillId="0" borderId="1" xfId="0" applyNumberFormat="1" applyFont="1" applyBorder="1" applyAlignment="1">
      <alignment horizontal="center" wrapText="1"/>
    </xf>
    <xf numFmtId="10" fontId="6" fillId="0" borderId="1" xfId="1" applyNumberFormat="1" applyFont="1" applyBorder="1" applyAlignment="1">
      <alignment horizontal="center" wrapText="1"/>
    </xf>
    <xf numFmtId="9" fontId="6" fillId="0" borderId="1" xfId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0" fontId="0" fillId="0" borderId="1" xfId="0" applyNumberForma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525235</xdr:colOff>
      <xdr:row>0</xdr:row>
      <xdr:rowOff>0</xdr:rowOff>
    </xdr:from>
    <xdr:to>
      <xdr:col>12</xdr:col>
      <xdr:colOff>89918</xdr:colOff>
      <xdr:row>19</xdr:row>
      <xdr:rowOff>130949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B969D2-6D6B-4110-A1AE-E35942AB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6414" y="0"/>
          <a:ext cx="2944202" cy="4131449"/>
        </a:xfrm>
        <a:prstGeom prst="rect">
          <a:avLst/>
        </a:prstGeom>
      </xdr:spPr>
    </xdr:pic>
    <xdr:clientData/>
  </xdr:twoCellAnchor>
  <xdr:twoCellAnchor editAs="oneCell">
    <xdr:from>
      <xdr:col>13</xdr:col>
      <xdr:colOff>83752</xdr:colOff>
      <xdr:row>22</xdr:row>
      <xdr:rowOff>151463</xdr:rowOff>
    </xdr:from>
    <xdr:to>
      <xdr:col>18</xdr:col>
      <xdr:colOff>218482</xdr:colOff>
      <xdr:row>32</xdr:row>
      <xdr:rowOff>156903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5CBD7-DB4C-454A-976D-E63359348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14134" y="4532963"/>
          <a:ext cx="7116796" cy="2291440"/>
        </a:xfrm>
        <a:prstGeom prst="rect">
          <a:avLst/>
        </a:prstGeom>
      </xdr:spPr>
    </xdr:pic>
    <xdr:clientData/>
  </xdr:twoCellAnchor>
  <xdr:twoCellAnchor editAs="oneCell">
    <xdr:from>
      <xdr:col>7</xdr:col>
      <xdr:colOff>1177636</xdr:colOff>
      <xdr:row>37</xdr:row>
      <xdr:rowOff>86591</xdr:rowOff>
    </xdr:from>
    <xdr:to>
      <xdr:col>12</xdr:col>
      <xdr:colOff>435855</xdr:colOff>
      <xdr:row>46</xdr:row>
      <xdr:rowOff>76853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8954" y="7897091"/>
          <a:ext cx="5495238" cy="1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nbt0896-10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nbt0896-1017.pdf" TargetMode="External"/><Relationship Id="rId1" Type="http://schemas.openxmlformats.org/officeDocument/2006/relationships/hyperlink" Target="https://www.nature.com/articles/nbt0896-1017.pdf" TargetMode="External"/><Relationship Id="rId6" Type="http://schemas.openxmlformats.org/officeDocument/2006/relationships/hyperlink" Target="https://link.springer.com/content/pdf/10.1007%2Fs00253-005-0093-8.pdf" TargetMode="External"/><Relationship Id="rId5" Type="http://schemas.openxmlformats.org/officeDocument/2006/relationships/hyperlink" Target="https://link.springer.com/content/pdf/10.1007%2Fs002530100813.pdf" TargetMode="External"/><Relationship Id="rId4" Type="http://schemas.openxmlformats.org/officeDocument/2006/relationships/hyperlink" Target="https://bionumbers.hms.harvard.edu/bionumber.aspx?id=100986&amp;ver=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C14" zoomScale="70" zoomScaleNormal="70" workbookViewId="0">
      <selection activeCell="P19" sqref="P19"/>
    </sheetView>
  </sheetViews>
  <sheetFormatPr defaultColWidth="8.85546875" defaultRowHeight="15" x14ac:dyDescent="0.25"/>
  <cols>
    <col min="1" max="1" width="26.7109375" style="1" bestFit="1" customWidth="1"/>
    <col min="2" max="2" width="21.28515625" style="1" customWidth="1"/>
    <col min="3" max="3" width="20.42578125" style="1" customWidth="1"/>
    <col min="4" max="4" width="14.85546875" style="1" bestFit="1" customWidth="1"/>
    <col min="5" max="5" width="11.42578125" style="1" bestFit="1" customWidth="1"/>
    <col min="6" max="6" width="10.5703125" style="1" bestFit="1" customWidth="1"/>
    <col min="7" max="7" width="15.140625" style="1" bestFit="1" customWidth="1"/>
    <col min="8" max="8" width="17.28515625" style="1" bestFit="1" customWidth="1"/>
    <col min="9" max="9" width="22.140625" style="1" bestFit="1" customWidth="1"/>
    <col min="10" max="16384" width="8.85546875" style="1"/>
  </cols>
  <sheetData>
    <row r="1" spans="1:10" x14ac:dyDescent="0.25">
      <c r="A1" s="1" t="s">
        <v>0</v>
      </c>
      <c r="B1" s="2">
        <v>10000000</v>
      </c>
      <c r="C1" s="1" t="s">
        <v>1</v>
      </c>
    </row>
    <row r="2" spans="1:10" x14ac:dyDescent="0.25">
      <c r="A2" s="1" t="s">
        <v>2</v>
      </c>
      <c r="B2" s="2">
        <v>6.0220000000000003E+23</v>
      </c>
      <c r="C2" s="1" t="s">
        <v>15</v>
      </c>
    </row>
    <row r="4" spans="1:10" x14ac:dyDescent="0.25">
      <c r="A4" s="9" t="s">
        <v>71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4</v>
      </c>
      <c r="G4" s="6" t="s">
        <v>5</v>
      </c>
      <c r="H4" s="7" t="s">
        <v>6</v>
      </c>
    </row>
    <row r="5" spans="1:10" x14ac:dyDescent="0.25">
      <c r="A5" s="1" t="s">
        <v>11</v>
      </c>
      <c r="B5" s="11">
        <v>1</v>
      </c>
      <c r="C5" s="11">
        <v>1</v>
      </c>
      <c r="D5" s="10">
        <v>100000</v>
      </c>
      <c r="E5" s="11">
        <v>1</v>
      </c>
      <c r="F5" s="10">
        <f t="shared" ref="F5:F10" si="0">C5*B5*$B$1*D5*E5</f>
        <v>1000000000000</v>
      </c>
      <c r="G5" s="28">
        <f t="shared" ref="G5:G10" si="1">F5/$B$2</f>
        <v>1.6605778811026237E-12</v>
      </c>
      <c r="H5" s="28">
        <f t="shared" ref="H5:H10" si="2">G5/B5*1000</f>
        <v>1.6605778811026236E-9</v>
      </c>
    </row>
    <row r="6" spans="1:10" x14ac:dyDescent="0.25">
      <c r="A6" s="1" t="s">
        <v>12</v>
      </c>
      <c r="B6" s="11">
        <v>1</v>
      </c>
      <c r="C6" s="11">
        <v>1</v>
      </c>
      <c r="D6" s="10">
        <v>1000000</v>
      </c>
      <c r="E6" s="11">
        <v>1</v>
      </c>
      <c r="F6" s="10">
        <f t="shared" si="0"/>
        <v>10000000000000</v>
      </c>
      <c r="G6" s="28">
        <f t="shared" si="1"/>
        <v>1.6605778811026238E-11</v>
      </c>
      <c r="H6" s="28">
        <f t="shared" si="2"/>
        <v>1.6605778811026237E-8</v>
      </c>
    </row>
    <row r="7" spans="1:10" x14ac:dyDescent="0.25">
      <c r="A7" s="1" t="s">
        <v>13</v>
      </c>
      <c r="B7" s="11">
        <v>1</v>
      </c>
      <c r="C7" s="11">
        <v>1</v>
      </c>
      <c r="D7" s="10">
        <v>100000</v>
      </c>
      <c r="E7" s="11">
        <v>10</v>
      </c>
      <c r="F7" s="10">
        <f t="shared" si="0"/>
        <v>10000000000000</v>
      </c>
      <c r="G7" s="28">
        <f t="shared" si="1"/>
        <v>1.6605778811026238E-11</v>
      </c>
      <c r="H7" s="28">
        <f t="shared" si="2"/>
        <v>1.6605778811026237E-8</v>
      </c>
    </row>
    <row r="8" spans="1:10" x14ac:dyDescent="0.25">
      <c r="A8" s="1" t="s">
        <v>14</v>
      </c>
      <c r="B8" s="11">
        <v>1</v>
      </c>
      <c r="C8" s="11">
        <v>10</v>
      </c>
      <c r="D8" s="10">
        <v>100000</v>
      </c>
      <c r="E8" s="11">
        <v>1</v>
      </c>
      <c r="F8" s="10">
        <f t="shared" si="0"/>
        <v>10000000000000</v>
      </c>
      <c r="G8" s="28">
        <f t="shared" si="1"/>
        <v>1.6605778811026238E-11</v>
      </c>
      <c r="H8" s="28">
        <f t="shared" si="2"/>
        <v>1.6605778811026237E-8</v>
      </c>
    </row>
    <row r="9" spans="1:10" x14ac:dyDescent="0.25">
      <c r="A9" s="1" t="s">
        <v>22</v>
      </c>
      <c r="B9" s="11">
        <v>1</v>
      </c>
      <c r="C9" s="11">
        <v>1</v>
      </c>
      <c r="D9" s="10">
        <v>1000000</v>
      </c>
      <c r="E9" s="11">
        <v>10</v>
      </c>
      <c r="F9" s="10">
        <f t="shared" si="0"/>
        <v>100000000000000</v>
      </c>
      <c r="G9" s="28">
        <f t="shared" si="1"/>
        <v>1.6605778811026236E-10</v>
      </c>
      <c r="H9" s="28">
        <f t="shared" si="2"/>
        <v>1.6605778811026234E-7</v>
      </c>
    </row>
    <row r="10" spans="1:10" x14ac:dyDescent="0.25">
      <c r="A10" s="1" t="s">
        <v>23</v>
      </c>
      <c r="B10" s="11">
        <v>1</v>
      </c>
      <c r="C10" s="11">
        <v>10</v>
      </c>
      <c r="D10" s="10">
        <v>1000000</v>
      </c>
      <c r="E10" s="11">
        <v>10</v>
      </c>
      <c r="F10" s="10">
        <f t="shared" si="0"/>
        <v>1000000000000000</v>
      </c>
      <c r="G10" s="28">
        <f t="shared" si="1"/>
        <v>1.6605778811026236E-9</v>
      </c>
      <c r="H10" s="28">
        <f t="shared" si="2"/>
        <v>1.6605778811026237E-6</v>
      </c>
    </row>
    <row r="12" spans="1:10" ht="30" x14ac:dyDescent="0.25">
      <c r="A12" s="9" t="s">
        <v>70</v>
      </c>
      <c r="B12" s="15" t="s">
        <v>77</v>
      </c>
      <c r="C12" s="35" t="s">
        <v>89</v>
      </c>
      <c r="D12" s="3" t="s">
        <v>87</v>
      </c>
      <c r="E12" s="3" t="s">
        <v>86</v>
      </c>
      <c r="F12" s="3" t="s">
        <v>72</v>
      </c>
      <c r="G12" s="3" t="s">
        <v>73</v>
      </c>
      <c r="H12" s="3" t="s">
        <v>74</v>
      </c>
      <c r="I12" s="3" t="s">
        <v>75</v>
      </c>
      <c r="J12" s="1" t="s">
        <v>91</v>
      </c>
    </row>
    <row r="13" spans="1:10" ht="43.15" customHeight="1" x14ac:dyDescent="0.25">
      <c r="A13" s="1" t="s">
        <v>59</v>
      </c>
      <c r="B13" s="64" t="s">
        <v>118</v>
      </c>
      <c r="C13" s="36">
        <v>1.1000000000000001</v>
      </c>
      <c r="D13" s="10">
        <f>B39</f>
        <v>470588235.29411769</v>
      </c>
      <c r="E13" s="10">
        <f>C13/D13*0.000000001</f>
        <v>2.3375000000000001E-18</v>
      </c>
      <c r="F13" s="10">
        <f t="shared" ref="F13:F33" si="3">E13*$B$2</f>
        <v>1407642.5</v>
      </c>
      <c r="G13" s="11">
        <v>1</v>
      </c>
      <c r="H13" s="10">
        <f t="shared" ref="H13:H33" si="4">G13*F13</f>
        <v>1407642.5</v>
      </c>
      <c r="I13" s="1" t="s">
        <v>92</v>
      </c>
      <c r="J13" s="1" t="s">
        <v>76</v>
      </c>
    </row>
    <row r="14" spans="1:10" x14ac:dyDescent="0.25">
      <c r="A14" s="1" t="s">
        <v>60</v>
      </c>
      <c r="B14" s="64"/>
      <c r="C14" s="36">
        <v>1.3</v>
      </c>
      <c r="D14" s="10">
        <f>D13</f>
        <v>470588235.29411769</v>
      </c>
      <c r="E14" s="10">
        <f t="shared" ref="E14:E29" si="5">C14/D14*0.000000001</f>
        <v>2.7625000000000001E-18</v>
      </c>
      <c r="F14" s="10">
        <f t="shared" si="3"/>
        <v>1663577.5000000002</v>
      </c>
      <c r="G14" s="11">
        <v>1</v>
      </c>
      <c r="H14" s="10">
        <f t="shared" si="4"/>
        <v>1663577.5000000002</v>
      </c>
      <c r="I14" s="1" t="s">
        <v>92</v>
      </c>
      <c r="J14" s="1" t="s">
        <v>76</v>
      </c>
    </row>
    <row r="15" spans="1:10" x14ac:dyDescent="0.25">
      <c r="A15" s="1" t="s">
        <v>61</v>
      </c>
      <c r="B15" s="64"/>
      <c r="C15" s="36">
        <v>0.95</v>
      </c>
      <c r="D15" s="10">
        <f>D14</f>
        <v>470588235.29411769</v>
      </c>
      <c r="E15" s="10">
        <f t="shared" si="5"/>
        <v>2.0187500000000001E-18</v>
      </c>
      <c r="F15" s="10">
        <f t="shared" si="3"/>
        <v>1215691.2500000002</v>
      </c>
      <c r="G15" s="11">
        <v>1</v>
      </c>
      <c r="H15" s="10">
        <f t="shared" si="4"/>
        <v>1215691.2500000002</v>
      </c>
      <c r="I15" s="1" t="s">
        <v>92</v>
      </c>
      <c r="J15" s="1" t="s">
        <v>76</v>
      </c>
    </row>
    <row r="16" spans="1:10" x14ac:dyDescent="0.25">
      <c r="A16" s="1" t="s">
        <v>31</v>
      </c>
      <c r="B16" s="64"/>
      <c r="C16" s="36">
        <v>0.55000000000000004</v>
      </c>
      <c r="D16" s="10">
        <f>D15</f>
        <v>470588235.29411769</v>
      </c>
      <c r="E16" s="10">
        <f t="shared" si="5"/>
        <v>1.16875E-18</v>
      </c>
      <c r="F16" s="10">
        <f t="shared" si="3"/>
        <v>703821.25</v>
      </c>
      <c r="G16" s="11">
        <v>1</v>
      </c>
      <c r="H16" s="10">
        <f t="shared" si="4"/>
        <v>703821.25</v>
      </c>
      <c r="I16" s="1" t="s">
        <v>92</v>
      </c>
      <c r="J16" s="1" t="s">
        <v>76</v>
      </c>
    </row>
    <row r="17" spans="1:10" ht="30" x14ac:dyDescent="0.25">
      <c r="A17" s="1" t="s">
        <v>60</v>
      </c>
      <c r="B17" s="37" t="s">
        <v>94</v>
      </c>
      <c r="C17" s="36">
        <v>17.3</v>
      </c>
      <c r="D17" s="10">
        <f>B40</f>
        <v>2051282051.2820513</v>
      </c>
      <c r="E17" s="10">
        <f t="shared" si="5"/>
        <v>8.4337500000000018E-18</v>
      </c>
      <c r="F17" s="10">
        <f t="shared" si="3"/>
        <v>5078804.2500000009</v>
      </c>
      <c r="G17" s="11">
        <v>1</v>
      </c>
      <c r="H17" s="10">
        <f t="shared" si="4"/>
        <v>5078804.2500000009</v>
      </c>
      <c r="I17" s="1" t="s">
        <v>93</v>
      </c>
      <c r="J17" s="1" t="s">
        <v>90</v>
      </c>
    </row>
    <row r="18" spans="1:10" ht="30" x14ac:dyDescent="0.25">
      <c r="A18" s="1" t="s">
        <v>60</v>
      </c>
      <c r="B18" s="37" t="s">
        <v>95</v>
      </c>
      <c r="C18" s="36">
        <v>3.1</v>
      </c>
      <c r="D18" s="10">
        <f>D17</f>
        <v>2051282051.2820513</v>
      </c>
      <c r="E18" s="10">
        <f t="shared" si="5"/>
        <v>1.51125E-18</v>
      </c>
      <c r="F18" s="10">
        <f t="shared" si="3"/>
        <v>910074.75</v>
      </c>
      <c r="G18" s="11">
        <v>1</v>
      </c>
      <c r="H18" s="10">
        <f t="shared" si="4"/>
        <v>910074.75</v>
      </c>
      <c r="I18" s="1" t="s">
        <v>93</v>
      </c>
      <c r="J18" s="1" t="s">
        <v>90</v>
      </c>
    </row>
    <row r="19" spans="1:10" ht="45" x14ac:dyDescent="0.25">
      <c r="A19" s="1" t="s">
        <v>60</v>
      </c>
      <c r="B19" s="37" t="s">
        <v>96</v>
      </c>
      <c r="C19" s="36">
        <f>C17*0.75</f>
        <v>12.975000000000001</v>
      </c>
      <c r="D19" s="10">
        <f>D18</f>
        <v>2051282051.2820513</v>
      </c>
      <c r="E19" s="10">
        <f t="shared" si="5"/>
        <v>6.3253125000000014E-18</v>
      </c>
      <c r="F19" s="10">
        <f t="shared" si="3"/>
        <v>3809103.1875000009</v>
      </c>
      <c r="G19" s="11">
        <v>1</v>
      </c>
      <c r="H19" s="10">
        <f t="shared" si="4"/>
        <v>3809103.1875000009</v>
      </c>
      <c r="I19" s="1" t="s">
        <v>93</v>
      </c>
      <c r="J19" s="1" t="s">
        <v>90</v>
      </c>
    </row>
    <row r="20" spans="1:10" ht="75" x14ac:dyDescent="0.25">
      <c r="A20" s="1" t="s">
        <v>59</v>
      </c>
      <c r="B20" s="37" t="s">
        <v>97</v>
      </c>
      <c r="C20" s="36">
        <v>15</v>
      </c>
      <c r="D20" s="10">
        <f>B40</f>
        <v>2051282051.2820513</v>
      </c>
      <c r="E20" s="10">
        <f t="shared" si="5"/>
        <v>7.3125000000000002E-18</v>
      </c>
      <c r="F20" s="10">
        <f t="shared" si="3"/>
        <v>4403587.5</v>
      </c>
      <c r="G20" s="11">
        <v>1</v>
      </c>
      <c r="H20" s="10">
        <f t="shared" si="4"/>
        <v>4403587.5</v>
      </c>
      <c r="I20" s="1" t="s">
        <v>98</v>
      </c>
      <c r="J20" s="38" t="s">
        <v>99</v>
      </c>
    </row>
    <row r="21" spans="1:10" ht="75" x14ac:dyDescent="0.25">
      <c r="A21" s="1" t="s">
        <v>59</v>
      </c>
      <c r="B21" s="37" t="s">
        <v>100</v>
      </c>
      <c r="C21" s="36">
        <v>7</v>
      </c>
      <c r="D21" s="10">
        <f>D20</f>
        <v>2051282051.2820513</v>
      </c>
      <c r="E21" s="10">
        <f t="shared" si="5"/>
        <v>3.4125000000000001E-18</v>
      </c>
      <c r="F21" s="10">
        <f t="shared" si="3"/>
        <v>2055007.5000000002</v>
      </c>
      <c r="G21" s="11">
        <v>1</v>
      </c>
      <c r="H21" s="10">
        <f t="shared" si="4"/>
        <v>2055007.5000000002</v>
      </c>
      <c r="I21" s="1" t="s">
        <v>98</v>
      </c>
      <c r="J21" s="38" t="s">
        <v>99</v>
      </c>
    </row>
    <row r="22" spans="1:10" ht="75" x14ac:dyDescent="0.25">
      <c r="A22" s="1" t="s">
        <v>59</v>
      </c>
      <c r="B22" s="37" t="s">
        <v>101</v>
      </c>
      <c r="C22" s="36">
        <v>1</v>
      </c>
      <c r="D22" s="10">
        <f>D21</f>
        <v>2051282051.2820513</v>
      </c>
      <c r="E22" s="10">
        <f t="shared" si="5"/>
        <v>4.8750000000000001E-19</v>
      </c>
      <c r="F22" s="10">
        <f t="shared" si="3"/>
        <v>293572.5</v>
      </c>
      <c r="G22" s="11">
        <v>1</v>
      </c>
      <c r="H22" s="10">
        <f t="shared" si="4"/>
        <v>293572.5</v>
      </c>
      <c r="I22" s="1" t="s">
        <v>98</v>
      </c>
      <c r="J22" s="38" t="s">
        <v>99</v>
      </c>
    </row>
    <row r="23" spans="1:10" x14ac:dyDescent="0.25">
      <c r="A23" s="1" t="s">
        <v>59</v>
      </c>
      <c r="B23" s="37" t="s">
        <v>103</v>
      </c>
      <c r="C23" s="36">
        <f>10.5/112 *1000</f>
        <v>93.75</v>
      </c>
      <c r="D23" s="10">
        <f>B40</f>
        <v>2051282051.2820513</v>
      </c>
      <c r="E23" s="10">
        <f t="shared" si="5"/>
        <v>4.5703125E-17</v>
      </c>
      <c r="F23" s="10">
        <f t="shared" si="3"/>
        <v>27522421.875</v>
      </c>
      <c r="G23" s="11">
        <v>1</v>
      </c>
      <c r="H23" s="10">
        <f t="shared" si="4"/>
        <v>27522421.875</v>
      </c>
      <c r="I23" s="1" t="s">
        <v>120</v>
      </c>
      <c r="J23" s="1" t="s">
        <v>102</v>
      </c>
    </row>
    <row r="24" spans="1:10" x14ac:dyDescent="0.25">
      <c r="A24" s="1" t="s">
        <v>31</v>
      </c>
      <c r="B24" s="37" t="s">
        <v>104</v>
      </c>
      <c r="C24" s="36">
        <f>1.22/63.546 *1000</f>
        <v>19.198690712239951</v>
      </c>
      <c r="D24" s="10">
        <f>D23</f>
        <v>2051282051.2820513</v>
      </c>
      <c r="E24" s="10">
        <f t="shared" si="5"/>
        <v>9.3593617222169778E-18</v>
      </c>
      <c r="F24" s="10">
        <f t="shared" si="3"/>
        <v>5636207.6291190647</v>
      </c>
      <c r="G24" s="11">
        <v>1</v>
      </c>
      <c r="H24" s="10">
        <f t="shared" si="4"/>
        <v>5636207.6291190647</v>
      </c>
      <c r="I24" s="1" t="s">
        <v>120</v>
      </c>
      <c r="J24" s="1" t="s">
        <v>102</v>
      </c>
    </row>
    <row r="25" spans="1:10" x14ac:dyDescent="0.25">
      <c r="A25" s="1" t="s">
        <v>32</v>
      </c>
      <c r="B25" s="37" t="s">
        <v>105</v>
      </c>
      <c r="C25" s="36">
        <f>3.37/65.38 *1000</f>
        <v>51.544814928112579</v>
      </c>
      <c r="D25" s="10">
        <f>D24</f>
        <v>2051282051.2820513</v>
      </c>
      <c r="E25" s="10">
        <f t="shared" si="5"/>
        <v>2.5128097277454883E-17</v>
      </c>
      <c r="F25" s="10">
        <f t="shared" si="3"/>
        <v>15132140.180483332</v>
      </c>
      <c r="G25" s="11">
        <v>1</v>
      </c>
      <c r="H25" s="10">
        <f t="shared" si="4"/>
        <v>15132140.180483332</v>
      </c>
      <c r="I25" s="1" t="s">
        <v>120</v>
      </c>
      <c r="J25" s="1" t="s">
        <v>102</v>
      </c>
    </row>
    <row r="26" spans="1:10" ht="30" x14ac:dyDescent="0.25">
      <c r="A26" s="1" t="s">
        <v>59</v>
      </c>
      <c r="B26" s="37" t="s">
        <v>107</v>
      </c>
      <c r="C26" s="36">
        <v>27.1</v>
      </c>
      <c r="D26" s="10">
        <f>B43</f>
        <v>16129032.258064516</v>
      </c>
      <c r="E26" s="10">
        <f t="shared" si="5"/>
        <v>1.6802000000000002E-15</v>
      </c>
      <c r="F26" s="10">
        <f t="shared" si="3"/>
        <v>1011816440.0000001</v>
      </c>
      <c r="G26" s="11">
        <v>1</v>
      </c>
      <c r="H26" s="10">
        <f t="shared" si="4"/>
        <v>1011816440.0000001</v>
      </c>
      <c r="I26" s="1" t="s">
        <v>119</v>
      </c>
      <c r="J26" s="1" t="s">
        <v>106</v>
      </c>
    </row>
    <row r="27" spans="1:10" ht="30" x14ac:dyDescent="0.25">
      <c r="A27" s="1" t="s">
        <v>59</v>
      </c>
      <c r="B27" s="37" t="s">
        <v>110</v>
      </c>
      <c r="C27" s="36">
        <v>16.600000000000001</v>
      </c>
      <c r="D27" s="10">
        <f>D26</f>
        <v>16129032.258064516</v>
      </c>
      <c r="E27" s="10">
        <f>C27/D27*0.000000001</f>
        <v>1.0292E-15</v>
      </c>
      <c r="F27" s="10">
        <f t="shared" si="3"/>
        <v>619784240</v>
      </c>
      <c r="G27" s="11">
        <v>1</v>
      </c>
      <c r="H27" s="10">
        <f t="shared" si="4"/>
        <v>619784240</v>
      </c>
      <c r="I27" s="1" t="s">
        <v>119</v>
      </c>
      <c r="J27" s="1" t="s">
        <v>106</v>
      </c>
    </row>
    <row r="28" spans="1:10" ht="30" x14ac:dyDescent="0.25">
      <c r="A28" s="1" t="s">
        <v>59</v>
      </c>
      <c r="B28" s="37" t="s">
        <v>108</v>
      </c>
      <c r="C28" s="36">
        <v>14.9</v>
      </c>
      <c r="D28" s="10">
        <f>B40</f>
        <v>2051282051.2820513</v>
      </c>
      <c r="E28" s="10">
        <f t="shared" si="5"/>
        <v>7.2637500000000011E-18</v>
      </c>
      <c r="F28" s="10">
        <f t="shared" si="3"/>
        <v>4374230.2500000009</v>
      </c>
      <c r="G28" s="11">
        <v>1</v>
      </c>
      <c r="H28" s="10">
        <f t="shared" si="4"/>
        <v>4374230.2500000009</v>
      </c>
      <c r="I28" s="1" t="s">
        <v>119</v>
      </c>
      <c r="J28" s="1" t="s">
        <v>106</v>
      </c>
    </row>
    <row r="29" spans="1:10" ht="30" x14ac:dyDescent="0.25">
      <c r="A29" s="1" t="s">
        <v>59</v>
      </c>
      <c r="B29" s="37" t="s">
        <v>109</v>
      </c>
      <c r="C29" s="36">
        <v>6.4</v>
      </c>
      <c r="D29" s="10">
        <f>D28</f>
        <v>2051282051.2820513</v>
      </c>
      <c r="E29" s="10">
        <f t="shared" si="5"/>
        <v>3.1200000000000003E-18</v>
      </c>
      <c r="F29" s="10">
        <f t="shared" si="3"/>
        <v>1878864.0000000002</v>
      </c>
      <c r="G29" s="11">
        <v>1</v>
      </c>
      <c r="H29" s="10">
        <f t="shared" si="4"/>
        <v>1878864.0000000002</v>
      </c>
      <c r="I29" s="1" t="s">
        <v>119</v>
      </c>
      <c r="J29" s="1" t="s">
        <v>106</v>
      </c>
    </row>
    <row r="30" spans="1:10" ht="60" x14ac:dyDescent="0.25">
      <c r="A30" s="1" t="s">
        <v>31</v>
      </c>
      <c r="B30" s="37" t="s">
        <v>121</v>
      </c>
      <c r="C30" s="36">
        <v>1.7</v>
      </c>
      <c r="D30" s="10">
        <f>B43</f>
        <v>16129032.258064516</v>
      </c>
      <c r="E30" s="10">
        <f t="shared" ref="E30" si="6">C30/D30*0.000000001</f>
        <v>1.0540000000000001E-16</v>
      </c>
      <c r="F30" s="10">
        <f t="shared" si="3"/>
        <v>63471880.000000007</v>
      </c>
      <c r="G30" s="11">
        <v>1</v>
      </c>
      <c r="H30" s="10">
        <f t="shared" si="4"/>
        <v>63471880.000000007</v>
      </c>
      <c r="I30" s="1" t="s">
        <v>122</v>
      </c>
      <c r="J30" s="38" t="s">
        <v>123</v>
      </c>
    </row>
    <row r="31" spans="1:10" ht="120" x14ac:dyDescent="0.25">
      <c r="A31" s="1" t="s">
        <v>59</v>
      </c>
      <c r="B31" s="37" t="s">
        <v>124</v>
      </c>
      <c r="C31" s="36">
        <v>10</v>
      </c>
      <c r="D31" s="10">
        <f>B43</f>
        <v>16129032.258064516</v>
      </c>
      <c r="E31" s="10">
        <f t="shared" ref="E31" si="7">C31/D31*0.000000001</f>
        <v>6.2000000000000002E-16</v>
      </c>
      <c r="F31" s="10">
        <f t="shared" si="3"/>
        <v>373364000</v>
      </c>
      <c r="G31" s="11">
        <v>1</v>
      </c>
      <c r="H31" s="10">
        <f t="shared" si="4"/>
        <v>373364000</v>
      </c>
      <c r="I31" s="1" t="s">
        <v>125</v>
      </c>
      <c r="J31" s="38" t="s">
        <v>126</v>
      </c>
    </row>
    <row r="32" spans="1:10" ht="90" x14ac:dyDescent="0.25">
      <c r="A32" s="1" t="s">
        <v>31</v>
      </c>
      <c r="B32" s="37" t="s">
        <v>127</v>
      </c>
      <c r="C32" s="36">
        <v>25.8</v>
      </c>
      <c r="D32" s="10">
        <f>B43</f>
        <v>16129032.258064516</v>
      </c>
      <c r="E32" s="10">
        <f t="shared" ref="E32:E33" si="8">C32/D32*0.000000001</f>
        <v>1.5996000000000002E-15</v>
      </c>
      <c r="F32" s="10">
        <f t="shared" si="3"/>
        <v>963279120.00000012</v>
      </c>
      <c r="G32" s="11">
        <v>1</v>
      </c>
      <c r="H32" s="10">
        <f t="shared" si="4"/>
        <v>963279120.00000012</v>
      </c>
      <c r="I32" s="1" t="s">
        <v>128</v>
      </c>
      <c r="J32" s="1" t="s">
        <v>129</v>
      </c>
    </row>
    <row r="33" spans="1:10" ht="90" x14ac:dyDescent="0.25">
      <c r="A33" s="1" t="s">
        <v>32</v>
      </c>
      <c r="B33" s="37" t="s">
        <v>127</v>
      </c>
      <c r="C33" s="36">
        <v>48.8</v>
      </c>
      <c r="D33" s="10">
        <f>D32</f>
        <v>16129032.258064516</v>
      </c>
      <c r="E33" s="10">
        <f t="shared" si="8"/>
        <v>3.0256000000000001E-15</v>
      </c>
      <c r="F33" s="10">
        <f t="shared" si="3"/>
        <v>1822016320.0000002</v>
      </c>
      <c r="G33" s="11">
        <v>1</v>
      </c>
      <c r="H33" s="10">
        <f t="shared" si="4"/>
        <v>1822016320.0000002</v>
      </c>
      <c r="I33" s="1" t="s">
        <v>128</v>
      </c>
      <c r="J33" s="1" t="s">
        <v>129</v>
      </c>
    </row>
    <row r="34" spans="1:10" x14ac:dyDescent="0.25">
      <c r="B34" s="31"/>
      <c r="C34" s="32"/>
      <c r="D34" s="33"/>
      <c r="E34" s="33"/>
      <c r="F34" s="33"/>
      <c r="G34" s="34"/>
      <c r="H34" s="33"/>
    </row>
    <row r="35" spans="1:10" x14ac:dyDescent="0.25">
      <c r="A35" s="9" t="s">
        <v>88</v>
      </c>
      <c r="B35" s="1" t="s">
        <v>82</v>
      </c>
      <c r="C35" s="1" t="s">
        <v>75</v>
      </c>
    </row>
    <row r="36" spans="1:10" x14ac:dyDescent="0.25">
      <c r="A36" s="1" t="s">
        <v>49</v>
      </c>
      <c r="B36" s="39" t="s">
        <v>79</v>
      </c>
      <c r="C36" s="1" t="s">
        <v>78</v>
      </c>
    </row>
    <row r="37" spans="1:10" x14ac:dyDescent="0.25">
      <c r="A37" s="1" t="s">
        <v>49</v>
      </c>
      <c r="B37" s="39" t="s">
        <v>80</v>
      </c>
      <c r="C37" s="1" t="s">
        <v>78</v>
      </c>
    </row>
    <row r="38" spans="1:10" x14ac:dyDescent="0.25">
      <c r="A38" s="1" t="s">
        <v>49</v>
      </c>
      <c r="B38" s="39" t="s">
        <v>83</v>
      </c>
      <c r="C38" s="1" t="s">
        <v>81</v>
      </c>
    </row>
    <row r="39" spans="1:10" x14ac:dyDescent="0.25">
      <c r="A39" s="1" t="s">
        <v>84</v>
      </c>
      <c r="B39" s="30">
        <f>800000000/1.7</f>
        <v>470588235.29411769</v>
      </c>
      <c r="C39" s="1" t="s">
        <v>85</v>
      </c>
    </row>
    <row r="40" spans="1:10" x14ac:dyDescent="0.25">
      <c r="A40" s="1" t="s">
        <v>116</v>
      </c>
      <c r="B40" s="30">
        <f>800000000/0.39</f>
        <v>2051282051.2820513</v>
      </c>
      <c r="C40" s="1" t="s">
        <v>112</v>
      </c>
    </row>
    <row r="41" spans="1:10" x14ac:dyDescent="0.25">
      <c r="A41" s="1" t="s">
        <v>50</v>
      </c>
      <c r="B41" s="30" t="s">
        <v>111</v>
      </c>
      <c r="C41" s="38" t="s">
        <v>115</v>
      </c>
    </row>
    <row r="42" spans="1:10" x14ac:dyDescent="0.25">
      <c r="A42" s="1" t="s">
        <v>50</v>
      </c>
      <c r="B42" s="39" t="s">
        <v>113</v>
      </c>
      <c r="C42" s="1" t="s">
        <v>114</v>
      </c>
    </row>
    <row r="43" spans="1:10" x14ac:dyDescent="0.25">
      <c r="A43" s="1" t="s">
        <v>117</v>
      </c>
      <c r="B43" s="30">
        <f>10000000/0.62</f>
        <v>16129032.258064516</v>
      </c>
      <c r="C43" s="1" t="s">
        <v>112</v>
      </c>
    </row>
    <row r="44" spans="1:10" ht="30" x14ac:dyDescent="0.25">
      <c r="A44" s="40" t="s">
        <v>130</v>
      </c>
      <c r="B44" s="41">
        <v>0.39600000000000002</v>
      </c>
      <c r="C44" s="1" t="s">
        <v>131</v>
      </c>
    </row>
  </sheetData>
  <mergeCells count="1">
    <mergeCell ref="B13:B16"/>
  </mergeCells>
  <hyperlinks>
    <hyperlink ref="J20" r:id="rId1"/>
    <hyperlink ref="J21" r:id="rId2"/>
    <hyperlink ref="J22" r:id="rId3"/>
    <hyperlink ref="C41" r:id="rId4"/>
    <hyperlink ref="J30" r:id="rId5"/>
    <hyperlink ref="J31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1" zoomScale="70" zoomScaleNormal="70" workbookViewId="0">
      <selection activeCell="H51" sqref="H51"/>
    </sheetView>
  </sheetViews>
  <sheetFormatPr defaultColWidth="8.85546875" defaultRowHeight="15" x14ac:dyDescent="0.25"/>
  <cols>
    <col min="1" max="1" width="26" style="1" bestFit="1" customWidth="1"/>
    <col min="2" max="2" width="23.85546875" style="1" customWidth="1"/>
    <col min="3" max="3" width="19.140625" style="1" bestFit="1" customWidth="1"/>
    <col min="4" max="4" width="17" style="1" bestFit="1" customWidth="1"/>
    <col min="5" max="5" width="23.85546875" style="1" customWidth="1"/>
    <col min="6" max="6" width="18.28515625" style="1" bestFit="1" customWidth="1"/>
    <col min="7" max="7" width="18.7109375" style="1" customWidth="1"/>
    <col min="8" max="8" width="19.42578125" style="1" customWidth="1"/>
    <col min="9" max="9" width="23.140625" style="1" customWidth="1"/>
    <col min="10" max="10" width="15.28515625" style="1" bestFit="1" customWidth="1"/>
    <col min="11" max="11" width="18.85546875" style="1" bestFit="1" customWidth="1"/>
    <col min="12" max="12" width="16.7109375" style="1" bestFit="1" customWidth="1"/>
    <col min="13" max="13" width="16.140625" style="1" customWidth="1"/>
    <col min="14" max="14" width="20.85546875" style="1" bestFit="1" customWidth="1"/>
    <col min="15" max="15" width="24.7109375" style="1" customWidth="1"/>
    <col min="16" max="17" width="16.85546875" style="1" customWidth="1"/>
    <col min="18" max="18" width="24.85546875" style="1" customWidth="1"/>
    <col min="19" max="19" width="27.42578125" style="1" customWidth="1"/>
    <col min="20" max="20" width="8.85546875" style="1"/>
    <col min="21" max="21" width="15.42578125" style="1" customWidth="1"/>
    <col min="22" max="16384" width="8.85546875" style="1"/>
  </cols>
  <sheetData>
    <row r="1" spans="1:9" x14ac:dyDescent="0.25">
      <c r="A1" s="1" t="s">
        <v>0</v>
      </c>
      <c r="B1" s="2">
        <v>10000000</v>
      </c>
      <c r="C1" s="1" t="s">
        <v>1</v>
      </c>
    </row>
    <row r="2" spans="1:9" x14ac:dyDescent="0.25">
      <c r="A2" s="1" t="s">
        <v>2</v>
      </c>
      <c r="B2" s="2">
        <v>6.0220000000000003E+23</v>
      </c>
      <c r="C2" s="1" t="s">
        <v>15</v>
      </c>
    </row>
    <row r="4" spans="1:9" ht="45" x14ac:dyDescent="0.25">
      <c r="A4" s="21" t="s">
        <v>62</v>
      </c>
      <c r="B4" s="8" t="s">
        <v>16</v>
      </c>
      <c r="C4" s="3" t="s">
        <v>7</v>
      </c>
      <c r="D4" s="3" t="s">
        <v>8</v>
      </c>
      <c r="E4" s="3" t="s">
        <v>17</v>
      </c>
      <c r="F4" s="3" t="s">
        <v>39</v>
      </c>
      <c r="G4" s="4" t="s">
        <v>4</v>
      </c>
      <c r="H4" s="6" t="s">
        <v>5</v>
      </c>
      <c r="I4" s="47" t="s">
        <v>174</v>
      </c>
    </row>
    <row r="5" spans="1:9" x14ac:dyDescent="0.25">
      <c r="A5" s="13" t="s">
        <v>19</v>
      </c>
      <c r="B5" s="10">
        <v>1.0000000000000001E-5</v>
      </c>
      <c r="C5" s="11">
        <v>1</v>
      </c>
      <c r="D5" s="11">
        <v>1</v>
      </c>
      <c r="E5" s="11">
        <v>4</v>
      </c>
      <c r="F5" s="11">
        <f t="shared" ref="F5:F10" si="0">ROUND(4/3*PI()*(E5/2)^3,2)</f>
        <v>33.51</v>
      </c>
      <c r="G5" s="10">
        <f>(B5*C5*0.001) *$B$2 / (C5*D5*$B$1)</f>
        <v>602200000</v>
      </c>
      <c r="H5" s="10">
        <f>G5/$B$2</f>
        <v>9.9999999999999988E-16</v>
      </c>
      <c r="I5" s="11">
        <f>ROUND(H5 / (F5 *0.000000000001 * 0.001) * 1000, 2)</f>
        <v>29.84</v>
      </c>
    </row>
    <row r="6" spans="1:9" x14ac:dyDescent="0.25">
      <c r="A6" s="13" t="s">
        <v>20</v>
      </c>
      <c r="B6" s="10">
        <v>5.0000000000000002E-5</v>
      </c>
      <c r="C6" s="11">
        <v>1</v>
      </c>
      <c r="D6" s="11">
        <v>1</v>
      </c>
      <c r="E6" s="11">
        <v>4</v>
      </c>
      <c r="F6" s="11">
        <f t="shared" si="0"/>
        <v>33.51</v>
      </c>
      <c r="G6" s="10">
        <f t="shared" ref="G6:G10" si="1">(B6*C6*0.001) *$B$2 / (C6*D6*$B$1)</f>
        <v>3011000000.0000005</v>
      </c>
      <c r="H6" s="10">
        <f t="shared" ref="H6:H10" si="2">G6/$B$2</f>
        <v>5.0000000000000008E-15</v>
      </c>
      <c r="I6" s="11">
        <f t="shared" ref="I6:I10" si="3">ROUND(H6 / (F6 *0.000000000001 * 0.001) * 1000, 2)</f>
        <v>149.21</v>
      </c>
    </row>
    <row r="7" spans="1:9" x14ac:dyDescent="0.25">
      <c r="A7" s="13" t="s">
        <v>18</v>
      </c>
      <c r="B7" s="10">
        <v>1E-4</v>
      </c>
      <c r="C7" s="11">
        <v>1</v>
      </c>
      <c r="D7" s="11">
        <v>1</v>
      </c>
      <c r="E7" s="11">
        <v>4</v>
      </c>
      <c r="F7" s="11">
        <f t="shared" si="0"/>
        <v>33.51</v>
      </c>
      <c r="G7" s="10">
        <f t="shared" si="1"/>
        <v>6022000000.000001</v>
      </c>
      <c r="H7" s="10">
        <f t="shared" si="2"/>
        <v>1.0000000000000002E-14</v>
      </c>
      <c r="I7" s="11">
        <f t="shared" si="3"/>
        <v>298.42</v>
      </c>
    </row>
    <row r="8" spans="1:9" x14ac:dyDescent="0.25">
      <c r="A8" s="13" t="s">
        <v>24</v>
      </c>
      <c r="B8" s="10">
        <v>5.0000000000000002E-5</v>
      </c>
      <c r="C8" s="11">
        <v>1</v>
      </c>
      <c r="D8" s="11">
        <v>1</v>
      </c>
      <c r="E8" s="11">
        <v>10</v>
      </c>
      <c r="F8" s="11">
        <f t="shared" si="0"/>
        <v>523.6</v>
      </c>
      <c r="G8" s="10">
        <f t="shared" si="1"/>
        <v>3011000000.0000005</v>
      </c>
      <c r="H8" s="10">
        <f t="shared" si="2"/>
        <v>5.0000000000000008E-15</v>
      </c>
      <c r="I8" s="11">
        <f t="shared" si="3"/>
        <v>9.5500000000000007</v>
      </c>
    </row>
    <row r="9" spans="1:9" x14ac:dyDescent="0.25">
      <c r="A9" s="13" t="s">
        <v>21</v>
      </c>
      <c r="B9" s="10">
        <v>5.0000000000000002E-5</v>
      </c>
      <c r="C9" s="11">
        <v>1</v>
      </c>
      <c r="D9" s="11">
        <v>10</v>
      </c>
      <c r="E9" s="11">
        <v>4</v>
      </c>
      <c r="F9" s="11">
        <f t="shared" si="0"/>
        <v>33.51</v>
      </c>
      <c r="G9" s="10">
        <f t="shared" si="1"/>
        <v>301100000.00000006</v>
      </c>
      <c r="H9" s="10">
        <f t="shared" si="2"/>
        <v>5.0000000000000004E-16</v>
      </c>
      <c r="I9" s="11">
        <f t="shared" si="3"/>
        <v>14.92</v>
      </c>
    </row>
    <row r="10" spans="1:9" x14ac:dyDescent="0.25">
      <c r="A10" s="13" t="s">
        <v>25</v>
      </c>
      <c r="B10" s="10">
        <v>5.0000000000000002E-5</v>
      </c>
      <c r="C10" s="11">
        <v>1</v>
      </c>
      <c r="D10" s="11">
        <v>10</v>
      </c>
      <c r="E10" s="11">
        <v>10</v>
      </c>
      <c r="F10" s="11">
        <f t="shared" si="0"/>
        <v>523.6</v>
      </c>
      <c r="G10" s="10">
        <f t="shared" si="1"/>
        <v>301100000.00000006</v>
      </c>
      <c r="H10" s="10">
        <f t="shared" si="2"/>
        <v>5.0000000000000004E-16</v>
      </c>
      <c r="I10" s="11">
        <f t="shared" si="3"/>
        <v>0.95</v>
      </c>
    </row>
    <row r="11" spans="1:9" x14ac:dyDescent="0.25">
      <c r="B11" s="2"/>
    </row>
    <row r="12" spans="1:9" x14ac:dyDescent="0.25">
      <c r="A12" s="9" t="s">
        <v>52</v>
      </c>
      <c r="B12" s="2" t="s">
        <v>45</v>
      </c>
      <c r="C12" s="1" t="s">
        <v>44</v>
      </c>
      <c r="D12" s="1" t="s">
        <v>42</v>
      </c>
      <c r="E12" s="1" t="s">
        <v>43</v>
      </c>
      <c r="F12" s="1" t="s">
        <v>40</v>
      </c>
      <c r="G12" s="1" t="s">
        <v>41</v>
      </c>
      <c r="H12" s="1" t="s">
        <v>34</v>
      </c>
    </row>
    <row r="13" spans="1:9" x14ac:dyDescent="0.25">
      <c r="A13" s="13" t="s">
        <v>37</v>
      </c>
      <c r="B13" s="12">
        <v>50</v>
      </c>
      <c r="C13" s="14">
        <v>125</v>
      </c>
      <c r="D13" s="12">
        <f t="shared" ref="D13:E15" si="4">ROUND((B13*3/4/PI())^(1/3)*2,2)</f>
        <v>4.57</v>
      </c>
      <c r="E13" s="12">
        <f t="shared" si="4"/>
        <v>6.2</v>
      </c>
      <c r="F13" s="12">
        <v>1.1000000000000001</v>
      </c>
      <c r="G13" s="12">
        <v>1.1200000000000001</v>
      </c>
      <c r="H13" s="1" t="s">
        <v>33</v>
      </c>
    </row>
    <row r="14" spans="1:9" x14ac:dyDescent="0.25">
      <c r="A14" s="13" t="s">
        <v>36</v>
      </c>
      <c r="B14" s="12">
        <v>75</v>
      </c>
      <c r="C14" s="14">
        <v>250</v>
      </c>
      <c r="D14" s="12">
        <f t="shared" si="4"/>
        <v>5.23</v>
      </c>
      <c r="E14" s="12">
        <f t="shared" si="4"/>
        <v>7.82</v>
      </c>
      <c r="F14" s="12">
        <v>1.08</v>
      </c>
      <c r="G14" s="12">
        <v>1.0900000000000001</v>
      </c>
      <c r="H14" s="1" t="s">
        <v>33</v>
      </c>
    </row>
    <row r="15" spans="1:9" x14ac:dyDescent="0.25">
      <c r="A15" s="13" t="s">
        <v>38</v>
      </c>
      <c r="B15" s="12">
        <v>40</v>
      </c>
      <c r="C15" s="14">
        <v>160</v>
      </c>
      <c r="D15" s="12">
        <f t="shared" si="4"/>
        <v>4.24</v>
      </c>
      <c r="E15" s="12">
        <f t="shared" si="4"/>
        <v>6.74</v>
      </c>
      <c r="F15" s="12">
        <v>1.1000000000000001</v>
      </c>
      <c r="G15" s="12">
        <v>1.1200000000000001</v>
      </c>
      <c r="H15" s="1" t="s">
        <v>33</v>
      </c>
    </row>
    <row r="16" spans="1:9" x14ac:dyDescent="0.25">
      <c r="B16" s="2"/>
    </row>
    <row r="17" spans="1:12" x14ac:dyDescent="0.25">
      <c r="A17" s="9" t="s">
        <v>53</v>
      </c>
      <c r="B17" s="3" t="s">
        <v>48</v>
      </c>
      <c r="C17" s="3" t="s">
        <v>49</v>
      </c>
      <c r="D17" s="5" t="s">
        <v>50</v>
      </c>
      <c r="E17" s="3" t="s">
        <v>34</v>
      </c>
    </row>
    <row r="18" spans="1:12" x14ac:dyDescent="0.25">
      <c r="A18" s="13" t="s">
        <v>27</v>
      </c>
      <c r="B18" s="11">
        <v>10</v>
      </c>
      <c r="C18" s="11" t="s">
        <v>47</v>
      </c>
      <c r="D18" s="11">
        <v>300</v>
      </c>
      <c r="E18" s="1" t="s">
        <v>46</v>
      </c>
    </row>
    <row r="19" spans="1:12" x14ac:dyDescent="0.25">
      <c r="A19" s="13" t="s">
        <v>26</v>
      </c>
      <c r="B19" s="11">
        <v>500</v>
      </c>
      <c r="C19" s="11">
        <v>10</v>
      </c>
      <c r="D19" s="11">
        <v>30</v>
      </c>
      <c r="E19" s="1" t="s">
        <v>46</v>
      </c>
    </row>
    <row r="20" spans="1:12" x14ac:dyDescent="0.25">
      <c r="A20" s="13" t="s">
        <v>28</v>
      </c>
      <c r="B20" s="11">
        <v>50</v>
      </c>
      <c r="C20" s="11" t="s">
        <v>51</v>
      </c>
      <c r="D20" s="11">
        <v>50</v>
      </c>
      <c r="E20" s="1" t="s">
        <v>46</v>
      </c>
    </row>
    <row r="21" spans="1:12" x14ac:dyDescent="0.25">
      <c r="A21" s="13" t="s">
        <v>30</v>
      </c>
      <c r="B21" s="11">
        <v>10</v>
      </c>
      <c r="C21" s="11">
        <v>3</v>
      </c>
      <c r="D21" s="11">
        <v>2</v>
      </c>
      <c r="E21" s="1" t="s">
        <v>46</v>
      </c>
    </row>
    <row r="22" spans="1:12" x14ac:dyDescent="0.25">
      <c r="B22" s="3"/>
      <c r="C22" s="3"/>
      <c r="D22" s="3"/>
    </row>
    <row r="23" spans="1:12" ht="30" x14ac:dyDescent="0.25">
      <c r="A23" s="21" t="s">
        <v>132</v>
      </c>
      <c r="B23" s="3"/>
      <c r="C23" s="3"/>
      <c r="D23" s="3"/>
    </row>
    <row r="24" spans="1:12" ht="30" x14ac:dyDescent="0.25">
      <c r="A24" s="1" t="s">
        <v>133</v>
      </c>
      <c r="B24" s="3" t="s">
        <v>134</v>
      </c>
      <c r="C24" s="3" t="s">
        <v>16</v>
      </c>
      <c r="D24" s="35" t="s">
        <v>135</v>
      </c>
      <c r="E24" s="3" t="s">
        <v>17</v>
      </c>
      <c r="F24" s="35" t="s">
        <v>137</v>
      </c>
      <c r="G24" s="3" t="s">
        <v>56</v>
      </c>
      <c r="H24" s="1" t="s">
        <v>136</v>
      </c>
      <c r="I24" s="21" t="s">
        <v>166</v>
      </c>
      <c r="J24" s="1" t="s">
        <v>171</v>
      </c>
      <c r="K24" s="1" t="s">
        <v>172</v>
      </c>
      <c r="L24" s="9" t="s">
        <v>170</v>
      </c>
    </row>
    <row r="25" spans="1:12" x14ac:dyDescent="0.25">
      <c r="A25" s="1" t="s">
        <v>29</v>
      </c>
      <c r="B25" s="39" t="str">
        <f t="shared" ref="B25:C27" si="5">A5</f>
        <v>low uptake</v>
      </c>
      <c r="C25" s="28">
        <f t="shared" si="5"/>
        <v>1.0000000000000001E-5</v>
      </c>
      <c r="D25" s="28">
        <f>H5</f>
        <v>9.9999999999999988E-16</v>
      </c>
      <c r="E25" s="29">
        <f>E5</f>
        <v>4</v>
      </c>
      <c r="F25" s="29">
        <f>1.1</f>
        <v>1.1000000000000001</v>
      </c>
      <c r="G25" s="29">
        <v>54.938000000000002</v>
      </c>
      <c r="H25" s="29">
        <f t="shared" ref="H25:H33" si="6">(D25*G25)/(4/3*PI()*(E25/2)^3 * 0.000000000001)</f>
        <v>1.6394351744217276E-3</v>
      </c>
      <c r="I25" s="45">
        <f>H25/F25</f>
        <v>1.4903956131106612E-3</v>
      </c>
      <c r="J25" s="29">
        <f t="shared" ref="J25:J33" si="7">F25*(4/3*PI()*(E25/2)^3*0.000000000001)</f>
        <v>3.6861353802120234E-11</v>
      </c>
      <c r="K25" s="28">
        <f t="shared" ref="K25:K33" si="8">J25+D25*G25</f>
        <v>3.6916291802120237E-11</v>
      </c>
      <c r="L25" s="45">
        <f>(K25-J25)/J25</f>
        <v>1.4903956131107443E-3</v>
      </c>
    </row>
    <row r="26" spans="1:12" x14ac:dyDescent="0.25">
      <c r="A26" s="1" t="s">
        <v>29</v>
      </c>
      <c r="B26" s="39" t="str">
        <f t="shared" si="5"/>
        <v>med uptake</v>
      </c>
      <c r="C26" s="28">
        <f t="shared" si="5"/>
        <v>5.0000000000000002E-5</v>
      </c>
      <c r="D26" s="28">
        <f>H6</f>
        <v>5.0000000000000008E-15</v>
      </c>
      <c r="E26" s="29">
        <f>E6</f>
        <v>4</v>
      </c>
      <c r="F26" s="29">
        <f>1.1</f>
        <v>1.1000000000000001</v>
      </c>
      <c r="G26" s="29">
        <v>54.938000000000002</v>
      </c>
      <c r="H26" s="29">
        <f t="shared" si="6"/>
        <v>8.1971758721086398E-3</v>
      </c>
      <c r="I26" s="45">
        <f t="shared" ref="I26:I30" si="9">H26/F26</f>
        <v>7.4519780655533082E-3</v>
      </c>
      <c r="J26" s="29">
        <f t="shared" si="7"/>
        <v>3.6861353802120234E-11</v>
      </c>
      <c r="K26" s="28">
        <f t="shared" si="8"/>
        <v>3.7136043802120236E-11</v>
      </c>
      <c r="L26" s="45">
        <f>(K26-J26)/J26</f>
        <v>7.4519780655533706E-3</v>
      </c>
    </row>
    <row r="27" spans="1:12" x14ac:dyDescent="0.25">
      <c r="A27" s="1" t="s">
        <v>29</v>
      </c>
      <c r="B27" s="39" t="str">
        <f t="shared" si="5"/>
        <v>high uptake</v>
      </c>
      <c r="C27" s="28">
        <f t="shared" si="5"/>
        <v>1E-4</v>
      </c>
      <c r="D27" s="28">
        <f>H7</f>
        <v>1.0000000000000002E-14</v>
      </c>
      <c r="E27" s="29">
        <f>E7</f>
        <v>4</v>
      </c>
      <c r="F27" s="29">
        <f>1.1</f>
        <v>1.1000000000000001</v>
      </c>
      <c r="G27" s="29">
        <v>54.938000000000002</v>
      </c>
      <c r="H27" s="29">
        <f t="shared" si="6"/>
        <v>1.639435174421728E-2</v>
      </c>
      <c r="I27" s="45">
        <f t="shared" si="9"/>
        <v>1.4903956131106616E-2</v>
      </c>
      <c r="J27" s="29">
        <f t="shared" si="7"/>
        <v>3.6861353802120234E-11</v>
      </c>
      <c r="K27" s="28">
        <f t="shared" si="8"/>
        <v>3.7410733802120232E-11</v>
      </c>
      <c r="L27" s="45">
        <f>(K27-J27)/J27</f>
        <v>1.4903956131106566E-2</v>
      </c>
    </row>
    <row r="28" spans="1:12" x14ac:dyDescent="0.25">
      <c r="A28" s="1" t="s">
        <v>138</v>
      </c>
      <c r="B28" s="29" t="str">
        <f t="shared" ref="B28:F30" si="10">B31</f>
        <v>low uptake</v>
      </c>
      <c r="C28" s="29">
        <f t="shared" si="10"/>
        <v>1.0000000000000001E-5</v>
      </c>
      <c r="D28" s="29">
        <f t="shared" si="10"/>
        <v>9.9999999999999988E-16</v>
      </c>
      <c r="E28" s="29">
        <f t="shared" si="10"/>
        <v>4</v>
      </c>
      <c r="F28" s="29">
        <f t="shared" si="10"/>
        <v>1.1000000000000001</v>
      </c>
      <c r="G28" s="29">
        <v>87.62</v>
      </c>
      <c r="H28" s="29">
        <f t="shared" si="6"/>
        <v>2.6147167713209758E-3</v>
      </c>
      <c r="I28" s="45">
        <f t="shared" si="9"/>
        <v>2.3770152466554323E-3</v>
      </c>
      <c r="J28" s="29">
        <f t="shared" si="7"/>
        <v>3.6861353802120234E-11</v>
      </c>
      <c r="K28" s="28">
        <f t="shared" si="8"/>
        <v>3.6948973802120233E-11</v>
      </c>
      <c r="L28" s="45">
        <f t="shared" ref="L28:L30" si="11">(K28-J28)/J28</f>
        <v>2.3770152466554102E-3</v>
      </c>
    </row>
    <row r="29" spans="1:12" x14ac:dyDescent="0.25">
      <c r="A29" s="1" t="s">
        <v>138</v>
      </c>
      <c r="B29" s="29" t="str">
        <f t="shared" si="10"/>
        <v>med uptake</v>
      </c>
      <c r="C29" s="29">
        <f t="shared" si="10"/>
        <v>5.0000000000000002E-5</v>
      </c>
      <c r="D29" s="29">
        <f t="shared" si="10"/>
        <v>5.0000000000000008E-15</v>
      </c>
      <c r="E29" s="29">
        <f t="shared" si="10"/>
        <v>4</v>
      </c>
      <c r="F29" s="29">
        <f t="shared" si="10"/>
        <v>1.1000000000000001</v>
      </c>
      <c r="G29" s="29">
        <v>87.62</v>
      </c>
      <c r="H29" s="29">
        <f t="shared" si="6"/>
        <v>1.3073583856604882E-2</v>
      </c>
      <c r="I29" s="45">
        <f t="shared" si="9"/>
        <v>1.1885076233277165E-2</v>
      </c>
      <c r="J29" s="29">
        <f t="shared" si="7"/>
        <v>3.6861353802120234E-11</v>
      </c>
      <c r="K29" s="28">
        <f t="shared" si="8"/>
        <v>3.7299453802120236E-11</v>
      </c>
      <c r="L29" s="45">
        <f t="shared" si="11"/>
        <v>1.1885076233277227E-2</v>
      </c>
    </row>
    <row r="30" spans="1:12" x14ac:dyDescent="0.25">
      <c r="A30" s="1" t="s">
        <v>138</v>
      </c>
      <c r="B30" s="29" t="str">
        <f t="shared" si="10"/>
        <v>high uptake</v>
      </c>
      <c r="C30" s="29">
        <f t="shared" si="10"/>
        <v>1E-4</v>
      </c>
      <c r="D30" s="29">
        <f t="shared" si="10"/>
        <v>1.0000000000000002E-14</v>
      </c>
      <c r="E30" s="29">
        <f t="shared" si="10"/>
        <v>4</v>
      </c>
      <c r="F30" s="29">
        <f t="shared" si="10"/>
        <v>1.1000000000000001</v>
      </c>
      <c r="G30" s="29">
        <v>87.62</v>
      </c>
      <c r="H30" s="29">
        <f t="shared" si="6"/>
        <v>2.6147167713209764E-2</v>
      </c>
      <c r="I30" s="45">
        <f t="shared" si="9"/>
        <v>2.3770152466554329E-2</v>
      </c>
      <c r="J30" s="29">
        <f t="shared" si="7"/>
        <v>3.6861353802120234E-11</v>
      </c>
      <c r="K30" s="28">
        <f t="shared" si="8"/>
        <v>3.7737553802120232E-11</v>
      </c>
      <c r="L30" s="45">
        <f t="shared" si="11"/>
        <v>2.3770152466554281E-2</v>
      </c>
    </row>
    <row r="31" spans="1:12" x14ac:dyDescent="0.25">
      <c r="A31" s="1" t="s">
        <v>59</v>
      </c>
      <c r="B31" s="29" t="str">
        <f t="shared" ref="B31:F33" si="12">B25</f>
        <v>low uptake</v>
      </c>
      <c r="C31" s="29">
        <f t="shared" si="12"/>
        <v>1.0000000000000001E-5</v>
      </c>
      <c r="D31" s="29">
        <f t="shared" si="12"/>
        <v>9.9999999999999988E-16</v>
      </c>
      <c r="E31" s="29">
        <f t="shared" si="12"/>
        <v>4</v>
      </c>
      <c r="F31" s="29">
        <f t="shared" si="12"/>
        <v>1.1000000000000001</v>
      </c>
      <c r="G31" s="29">
        <v>112.41</v>
      </c>
      <c r="H31" s="29">
        <f t="shared" si="6"/>
        <v>3.3544888411799916E-3</v>
      </c>
      <c r="I31" s="45">
        <f>H31/F31</f>
        <v>3.0495353101636286E-3</v>
      </c>
      <c r="J31" s="29">
        <f t="shared" si="7"/>
        <v>3.6861353802120234E-11</v>
      </c>
      <c r="K31" s="28">
        <f t="shared" si="8"/>
        <v>3.6973763802120236E-11</v>
      </c>
      <c r="L31" s="45">
        <f>(K31-J31)/J31</f>
        <v>3.049535310163682E-3</v>
      </c>
    </row>
    <row r="32" spans="1:12" x14ac:dyDescent="0.25">
      <c r="A32" s="1" t="s">
        <v>59</v>
      </c>
      <c r="B32" s="29" t="str">
        <f t="shared" si="12"/>
        <v>med uptake</v>
      </c>
      <c r="C32" s="29">
        <f t="shared" si="12"/>
        <v>5.0000000000000002E-5</v>
      </c>
      <c r="D32" s="29">
        <f t="shared" si="12"/>
        <v>5.0000000000000008E-15</v>
      </c>
      <c r="E32" s="29">
        <f t="shared" si="12"/>
        <v>4</v>
      </c>
      <c r="F32" s="29">
        <f t="shared" si="12"/>
        <v>1.1000000000000001</v>
      </c>
      <c r="G32" s="29">
        <v>112.41</v>
      </c>
      <c r="H32" s="29">
        <f t="shared" si="6"/>
        <v>1.6772444205899965E-2</v>
      </c>
      <c r="I32" s="45">
        <f>H32/F32</f>
        <v>1.5247676550818148E-2</v>
      </c>
      <c r="J32" s="29">
        <f t="shared" si="7"/>
        <v>3.6861353802120234E-11</v>
      </c>
      <c r="K32" s="28">
        <f t="shared" si="8"/>
        <v>3.7423403802120237E-11</v>
      </c>
      <c r="L32" s="45">
        <f>(K32-J32)/J32</f>
        <v>1.5247676550818235E-2</v>
      </c>
    </row>
    <row r="33" spans="1:12" x14ac:dyDescent="0.25">
      <c r="A33" s="1" t="s">
        <v>59</v>
      </c>
      <c r="B33" s="29" t="str">
        <f t="shared" si="12"/>
        <v>high uptake</v>
      </c>
      <c r="C33" s="29">
        <f t="shared" si="12"/>
        <v>1E-4</v>
      </c>
      <c r="D33" s="29">
        <f t="shared" si="12"/>
        <v>1.0000000000000002E-14</v>
      </c>
      <c r="E33" s="29">
        <f t="shared" si="12"/>
        <v>4</v>
      </c>
      <c r="F33" s="29">
        <f t="shared" si="12"/>
        <v>1.1000000000000001</v>
      </c>
      <c r="G33" s="29">
        <v>112.41</v>
      </c>
      <c r="H33" s="29">
        <f t="shared" si="6"/>
        <v>3.3544888411799929E-2</v>
      </c>
      <c r="I33" s="45">
        <f>H33/F33</f>
        <v>3.0495353101636296E-2</v>
      </c>
      <c r="J33" s="29">
        <f t="shared" si="7"/>
        <v>3.6861353802120234E-11</v>
      </c>
      <c r="K33" s="28">
        <f t="shared" si="8"/>
        <v>3.7985453802120234E-11</v>
      </c>
      <c r="L33" s="45">
        <f>(K33-J33)/J33</f>
        <v>3.0495353101636292E-2</v>
      </c>
    </row>
    <row r="35" spans="1:12" ht="30" x14ac:dyDescent="0.25">
      <c r="A35" s="21" t="s">
        <v>139</v>
      </c>
    </row>
    <row r="36" spans="1:12" x14ac:dyDescent="0.25">
      <c r="A36" s="1" t="s">
        <v>140</v>
      </c>
    </row>
    <row r="37" spans="1:12" x14ac:dyDescent="0.25">
      <c r="A37" s="1" t="s">
        <v>141</v>
      </c>
      <c r="B37" s="29">
        <v>500</v>
      </c>
      <c r="C37" s="1" t="s">
        <v>142</v>
      </c>
    </row>
    <row r="38" spans="1:12" x14ac:dyDescent="0.25">
      <c r="A38" s="1" t="s">
        <v>144</v>
      </c>
      <c r="B38" s="29">
        <v>250</v>
      </c>
      <c r="C38" s="1" t="s">
        <v>142</v>
      </c>
      <c r="D38" s="1" t="s">
        <v>143</v>
      </c>
    </row>
    <row r="39" spans="1:12" x14ac:dyDescent="0.25">
      <c r="A39" s="1" t="s">
        <v>146</v>
      </c>
      <c r="B39" s="29">
        <v>0.28000000000000003</v>
      </c>
      <c r="C39" s="1" t="s">
        <v>147</v>
      </c>
      <c r="D39" s="1" t="s">
        <v>145</v>
      </c>
    </row>
    <row r="40" spans="1:12" x14ac:dyDescent="0.25">
      <c r="A40" s="1" t="s">
        <v>148</v>
      </c>
      <c r="B40" s="29">
        <v>3</v>
      </c>
      <c r="C40" s="1" t="s">
        <v>147</v>
      </c>
      <c r="D40" s="1" t="s">
        <v>145</v>
      </c>
    </row>
    <row r="41" spans="1:12" x14ac:dyDescent="0.25">
      <c r="A41" s="1" t="s">
        <v>149</v>
      </c>
      <c r="B41" s="28">
        <v>101325</v>
      </c>
      <c r="C41" s="1" t="s">
        <v>150</v>
      </c>
    </row>
    <row r="42" spans="1:12" x14ac:dyDescent="0.25">
      <c r="A42" s="1" t="s">
        <v>151</v>
      </c>
      <c r="B42" s="29">
        <v>303</v>
      </c>
      <c r="C42" s="1" t="s">
        <v>152</v>
      </c>
    </row>
    <row r="43" spans="1:12" x14ac:dyDescent="0.25">
      <c r="A43" s="1" t="s">
        <v>153</v>
      </c>
      <c r="B43" s="29">
        <f>0.08206</f>
        <v>8.2059999999999994E-2</v>
      </c>
      <c r="C43" s="1" t="s">
        <v>154</v>
      </c>
    </row>
    <row r="44" spans="1:12" x14ac:dyDescent="0.25">
      <c r="A44" s="1" t="s">
        <v>159</v>
      </c>
      <c r="B44" s="46">
        <f>ROUND(B38*0.001*B43*B42*B41/1000000,2)</f>
        <v>0.63</v>
      </c>
      <c r="C44" s="1" t="s">
        <v>147</v>
      </c>
    </row>
    <row r="45" spans="1:12" x14ac:dyDescent="0.25">
      <c r="A45" s="1" t="s">
        <v>168</v>
      </c>
      <c r="B45" s="46">
        <v>1</v>
      </c>
      <c r="C45" s="1" t="s">
        <v>169</v>
      </c>
    </row>
    <row r="46" spans="1:12" x14ac:dyDescent="0.25">
      <c r="B46" s="43"/>
    </row>
    <row r="47" spans="1:12" x14ac:dyDescent="0.25">
      <c r="A47" s="1" t="s">
        <v>160</v>
      </c>
      <c r="B47" s="44" t="s">
        <v>161</v>
      </c>
    </row>
    <row r="48" spans="1:12" x14ac:dyDescent="0.25">
      <c r="I48" s="1" t="s">
        <v>145</v>
      </c>
    </row>
    <row r="49" spans="1:20" ht="30" x14ac:dyDescent="0.25">
      <c r="A49" s="1" t="s">
        <v>133</v>
      </c>
      <c r="B49" s="1" t="s">
        <v>56</v>
      </c>
      <c r="C49" s="1" t="s">
        <v>155</v>
      </c>
      <c r="D49" s="40" t="s">
        <v>156</v>
      </c>
      <c r="E49" s="1" t="s">
        <v>157</v>
      </c>
      <c r="F49" s="1" t="s">
        <v>158</v>
      </c>
      <c r="G49" s="40" t="s">
        <v>167</v>
      </c>
      <c r="H49" s="21" t="s">
        <v>173</v>
      </c>
      <c r="I49" s="1" t="s">
        <v>171</v>
      </c>
      <c r="J49" s="52" t="s">
        <v>162</v>
      </c>
      <c r="K49" s="52" t="s">
        <v>163</v>
      </c>
      <c r="L49" s="15" t="s">
        <v>164</v>
      </c>
      <c r="M49" s="21" t="s">
        <v>178</v>
      </c>
      <c r="N49" s="21" t="s">
        <v>179</v>
      </c>
      <c r="O49" s="21" t="s">
        <v>180</v>
      </c>
      <c r="P49" s="40" t="s">
        <v>137</v>
      </c>
      <c r="Q49" s="40" t="s">
        <v>165</v>
      </c>
      <c r="R49" s="21" t="s">
        <v>166</v>
      </c>
      <c r="S49" s="40" t="s">
        <v>175</v>
      </c>
      <c r="T49" s="9"/>
    </row>
    <row r="50" spans="1:20" x14ac:dyDescent="0.25">
      <c r="A50" s="1" t="s">
        <v>29</v>
      </c>
      <c r="B50" s="29">
        <v>54.938000000000002</v>
      </c>
      <c r="C50" s="29" t="str">
        <f t="shared" ref="C50:C58" si="13">B25</f>
        <v>low uptake</v>
      </c>
      <c r="D50" s="28">
        <f>H5</f>
        <v>9.9999999999999988E-16</v>
      </c>
      <c r="E50" s="29">
        <f>F5</f>
        <v>33.51</v>
      </c>
      <c r="F50" s="29">
        <f t="shared" ref="F50:F58" si="14">E50*0.000000000001*0.001</f>
        <v>3.3509999999999994E-14</v>
      </c>
      <c r="G50" s="28">
        <f t="shared" ref="G50:G58" si="15">F50+(D50*$B$43*$B$42*$B$41/($B$44*1000000))</f>
        <v>3.7508988949999997E-14</v>
      </c>
      <c r="H50" s="45">
        <f>(G50-F50)/G50</f>
        <v>0.10661414935312467</v>
      </c>
      <c r="I50" s="29">
        <f t="shared" ref="I50:I58" si="16">P50*F50*1000</f>
        <v>3.6860999999999998E-11</v>
      </c>
      <c r="J50" s="28">
        <f t="shared" ref="J50:J58" si="17">(G50-F50)*$B$45*1000</f>
        <v>3.9989889500000027E-12</v>
      </c>
      <c r="K50" s="28">
        <f t="shared" ref="K50:K58" si="18">B50*D50</f>
        <v>5.4937999999999998E-14</v>
      </c>
      <c r="L50" s="28">
        <f t="shared" ref="L50:L58" si="19">K50+J50</f>
        <v>4.0539269500000026E-12</v>
      </c>
      <c r="M50" s="53">
        <f>J50/I50</f>
        <v>0.10848834676216063</v>
      </c>
      <c r="N50" s="54">
        <f>K50/I50</f>
        <v>1.4904099183418789E-3</v>
      </c>
      <c r="O50" s="53">
        <f>L50/I50</f>
        <v>0.1099787566805025</v>
      </c>
      <c r="P50" s="29">
        <v>1.1000000000000001</v>
      </c>
      <c r="Q50" s="12">
        <f t="shared" ref="Q50:Q58" si="20">ROUND((P50*E50*0.000000000001 + L50)/(G50*1000),2)</f>
        <v>1.0900000000000001</v>
      </c>
      <c r="R50" s="45">
        <f t="shared" ref="R50:R58" si="21">(Q50-P50)/P50</f>
        <v>-9.0909090909090974E-3</v>
      </c>
      <c r="S50" s="42">
        <f t="shared" ref="S50:S58" si="22">ROUND(D50/G50*1000,0)</f>
        <v>27</v>
      </c>
      <c r="T50" s="51"/>
    </row>
    <row r="51" spans="1:20" x14ac:dyDescent="0.25">
      <c r="A51" s="1" t="s">
        <v>29</v>
      </c>
      <c r="B51" s="29">
        <v>54.938000000000002</v>
      </c>
      <c r="C51" s="29" t="str">
        <f t="shared" si="13"/>
        <v>med uptake</v>
      </c>
      <c r="D51" s="28">
        <f>H6</f>
        <v>5.0000000000000008E-15</v>
      </c>
      <c r="E51" s="29">
        <f>F6</f>
        <v>33.51</v>
      </c>
      <c r="F51" s="29">
        <f t="shared" si="14"/>
        <v>3.3509999999999994E-14</v>
      </c>
      <c r="G51" s="28">
        <f t="shared" si="15"/>
        <v>5.3504944749999994E-14</v>
      </c>
      <c r="H51" s="45">
        <f t="shared" ref="H50:H58" si="23">(G51-F51)/G51</f>
        <v>0.37370274548316401</v>
      </c>
      <c r="I51" s="29">
        <f t="shared" si="16"/>
        <v>3.6860999999999998E-11</v>
      </c>
      <c r="J51" s="28">
        <f t="shared" si="17"/>
        <v>1.999494475E-11</v>
      </c>
      <c r="K51" s="28">
        <f t="shared" si="18"/>
        <v>2.7469000000000006E-13</v>
      </c>
      <c r="L51" s="28">
        <f t="shared" si="19"/>
        <v>2.0269634749999999E-11</v>
      </c>
      <c r="M51" s="53">
        <f t="shared" ref="M51:M55" si="24">J51/I51</f>
        <v>0.54244173381080274</v>
      </c>
      <c r="N51" s="54">
        <f t="shared" ref="N51:N55" si="25">K51/I51</f>
        <v>7.4520495917093973E-3</v>
      </c>
      <c r="O51" s="53">
        <f t="shared" ref="O51:O55" si="26">L51/I51</f>
        <v>0.54989378340251216</v>
      </c>
      <c r="P51" s="29">
        <v>1.1000000000000001</v>
      </c>
      <c r="Q51" s="12">
        <f t="shared" si="20"/>
        <v>1.07</v>
      </c>
      <c r="R51" s="45">
        <f t="shared" si="21"/>
        <v>-2.7272727272727296E-2</v>
      </c>
      <c r="S51" s="42">
        <f t="shared" si="22"/>
        <v>93</v>
      </c>
      <c r="T51" s="51"/>
    </row>
    <row r="52" spans="1:20" x14ac:dyDescent="0.25">
      <c r="A52" s="1" t="s">
        <v>29</v>
      </c>
      <c r="B52" s="29">
        <v>54.938000000000002</v>
      </c>
      <c r="C52" s="29" t="str">
        <f t="shared" si="13"/>
        <v>high uptake</v>
      </c>
      <c r="D52" s="28">
        <f>H7</f>
        <v>1.0000000000000002E-14</v>
      </c>
      <c r="E52" s="29">
        <f>F7</f>
        <v>33.51</v>
      </c>
      <c r="F52" s="29">
        <f t="shared" si="14"/>
        <v>3.3509999999999994E-14</v>
      </c>
      <c r="G52" s="28">
        <f t="shared" si="15"/>
        <v>7.3499889499999988E-14</v>
      </c>
      <c r="H52" s="45">
        <f t="shared" si="23"/>
        <v>0.54408094722373701</v>
      </c>
      <c r="I52" s="29">
        <f t="shared" si="16"/>
        <v>3.6860999999999998E-11</v>
      </c>
      <c r="J52" s="28">
        <f t="shared" si="17"/>
        <v>3.9989889499999993E-11</v>
      </c>
      <c r="K52" s="28">
        <f t="shared" si="18"/>
        <v>5.4938000000000013E-13</v>
      </c>
      <c r="L52" s="28">
        <f t="shared" si="19"/>
        <v>4.0539269499999992E-11</v>
      </c>
      <c r="M52" s="53">
        <f t="shared" si="24"/>
        <v>1.0848834676216053</v>
      </c>
      <c r="N52" s="54">
        <f t="shared" si="25"/>
        <v>1.4904099183418795E-2</v>
      </c>
      <c r="O52" s="53">
        <f t="shared" si="26"/>
        <v>1.0997875668050241</v>
      </c>
      <c r="P52" s="29">
        <v>1.1000000000000001</v>
      </c>
      <c r="Q52" s="12">
        <f t="shared" si="20"/>
        <v>1.05</v>
      </c>
      <c r="R52" s="45">
        <f t="shared" si="21"/>
        <v>-4.5454545454545491E-2</v>
      </c>
      <c r="S52" s="42">
        <f t="shared" si="22"/>
        <v>136</v>
      </c>
      <c r="T52" s="51"/>
    </row>
    <row r="53" spans="1:20" x14ac:dyDescent="0.25">
      <c r="A53" s="1" t="s">
        <v>138</v>
      </c>
      <c r="B53" s="29">
        <v>87.62</v>
      </c>
      <c r="C53" s="29" t="str">
        <f t="shared" si="13"/>
        <v>low uptake</v>
      </c>
      <c r="D53" s="28">
        <f t="shared" ref="D53:E55" si="27">D56</f>
        <v>9.9999999999999988E-16</v>
      </c>
      <c r="E53" s="29">
        <f t="shared" si="27"/>
        <v>33.51</v>
      </c>
      <c r="F53" s="29">
        <f t="shared" si="14"/>
        <v>3.3509999999999994E-14</v>
      </c>
      <c r="G53" s="28">
        <f t="shared" si="15"/>
        <v>3.7508988949999997E-14</v>
      </c>
      <c r="H53" s="45">
        <f t="shared" si="23"/>
        <v>0.10661414935312467</v>
      </c>
      <c r="I53" s="29">
        <f t="shared" si="16"/>
        <v>3.6860999999999998E-11</v>
      </c>
      <c r="J53" s="28">
        <f t="shared" si="17"/>
        <v>3.9989889500000027E-12</v>
      </c>
      <c r="K53" s="28">
        <f t="shared" si="18"/>
        <v>8.7619999999999997E-14</v>
      </c>
      <c r="L53" s="28">
        <f t="shared" si="19"/>
        <v>4.0866089500000027E-12</v>
      </c>
      <c r="M53" s="53">
        <f t="shared" si="24"/>
        <v>0.10848834676216063</v>
      </c>
      <c r="N53" s="54">
        <f t="shared" si="25"/>
        <v>2.3770380619082499E-3</v>
      </c>
      <c r="O53" s="53">
        <f t="shared" si="26"/>
        <v>0.11086538482406888</v>
      </c>
      <c r="P53" s="29">
        <v>1.1000000000000001</v>
      </c>
      <c r="Q53" s="12">
        <f t="shared" si="20"/>
        <v>1.0900000000000001</v>
      </c>
      <c r="R53" s="45">
        <f t="shared" si="21"/>
        <v>-9.0909090909090974E-3</v>
      </c>
      <c r="S53" s="42">
        <f t="shared" si="22"/>
        <v>27</v>
      </c>
      <c r="T53" s="51"/>
    </row>
    <row r="54" spans="1:20" x14ac:dyDescent="0.25">
      <c r="A54" s="1" t="s">
        <v>138</v>
      </c>
      <c r="B54" s="29">
        <v>87.62</v>
      </c>
      <c r="C54" s="29" t="str">
        <f t="shared" si="13"/>
        <v>med uptake</v>
      </c>
      <c r="D54" s="28">
        <f t="shared" si="27"/>
        <v>5.0000000000000008E-15</v>
      </c>
      <c r="E54" s="29">
        <f t="shared" si="27"/>
        <v>33.51</v>
      </c>
      <c r="F54" s="29">
        <f t="shared" si="14"/>
        <v>3.3509999999999994E-14</v>
      </c>
      <c r="G54" s="28">
        <f t="shared" si="15"/>
        <v>5.3504944749999994E-14</v>
      </c>
      <c r="H54" s="45">
        <f t="shared" si="23"/>
        <v>0.37370274548316401</v>
      </c>
      <c r="I54" s="29">
        <f t="shared" si="16"/>
        <v>3.6860999999999998E-11</v>
      </c>
      <c r="J54" s="28">
        <f t="shared" si="17"/>
        <v>1.999494475E-11</v>
      </c>
      <c r="K54" s="28">
        <f t="shared" si="18"/>
        <v>4.3810000000000007E-13</v>
      </c>
      <c r="L54" s="28">
        <f t="shared" si="19"/>
        <v>2.0433044749999999E-11</v>
      </c>
      <c r="M54" s="53">
        <f t="shared" si="24"/>
        <v>0.54244173381080274</v>
      </c>
      <c r="N54" s="54">
        <f t="shared" si="25"/>
        <v>1.1885190309541252E-2</v>
      </c>
      <c r="O54" s="53">
        <f t="shared" si="26"/>
        <v>0.55432692412034401</v>
      </c>
      <c r="P54" s="29">
        <v>1.1000000000000001</v>
      </c>
      <c r="Q54" s="12">
        <f t="shared" si="20"/>
        <v>1.07</v>
      </c>
      <c r="R54" s="45">
        <f t="shared" si="21"/>
        <v>-2.7272727272727296E-2</v>
      </c>
      <c r="S54" s="42">
        <f t="shared" si="22"/>
        <v>93</v>
      </c>
      <c r="T54" s="51"/>
    </row>
    <row r="55" spans="1:20" x14ac:dyDescent="0.25">
      <c r="A55" s="1" t="s">
        <v>138</v>
      </c>
      <c r="B55" s="29">
        <v>87.62</v>
      </c>
      <c r="C55" s="29" t="str">
        <f t="shared" si="13"/>
        <v>high uptake</v>
      </c>
      <c r="D55" s="28">
        <f t="shared" si="27"/>
        <v>1.0000000000000002E-14</v>
      </c>
      <c r="E55" s="29">
        <f t="shared" si="27"/>
        <v>33.51</v>
      </c>
      <c r="F55" s="29">
        <f t="shared" si="14"/>
        <v>3.3509999999999994E-14</v>
      </c>
      <c r="G55" s="28">
        <f t="shared" si="15"/>
        <v>7.3499889499999988E-14</v>
      </c>
      <c r="H55" s="45">
        <f t="shared" si="23"/>
        <v>0.54408094722373701</v>
      </c>
      <c r="I55" s="29">
        <f t="shared" si="16"/>
        <v>3.6860999999999998E-11</v>
      </c>
      <c r="J55" s="28">
        <f t="shared" si="17"/>
        <v>3.9989889499999993E-11</v>
      </c>
      <c r="K55" s="28">
        <f t="shared" si="18"/>
        <v>8.7620000000000014E-13</v>
      </c>
      <c r="L55" s="28">
        <f t="shared" si="19"/>
        <v>4.0866089499999992E-11</v>
      </c>
      <c r="M55" s="53">
        <f t="shared" si="24"/>
        <v>1.0848834676216053</v>
      </c>
      <c r="N55" s="54">
        <f t="shared" si="25"/>
        <v>2.3770380619082505E-2</v>
      </c>
      <c r="O55" s="53">
        <f t="shared" si="26"/>
        <v>1.1086538482406878</v>
      </c>
      <c r="P55" s="29">
        <v>1.1000000000000001</v>
      </c>
      <c r="Q55" s="12">
        <f t="shared" si="20"/>
        <v>1.06</v>
      </c>
      <c r="R55" s="45">
        <f t="shared" si="21"/>
        <v>-3.636363636363639E-2</v>
      </c>
      <c r="S55" s="42">
        <f t="shared" si="22"/>
        <v>136</v>
      </c>
      <c r="T55" s="51"/>
    </row>
    <row r="56" spans="1:20" x14ac:dyDescent="0.25">
      <c r="A56" s="1" t="s">
        <v>59</v>
      </c>
      <c r="B56" s="29">
        <v>112.41</v>
      </c>
      <c r="C56" s="29" t="str">
        <f t="shared" si="13"/>
        <v>low uptake</v>
      </c>
      <c r="D56" s="28">
        <f t="shared" ref="D56:E58" si="28">D50</f>
        <v>9.9999999999999988E-16</v>
      </c>
      <c r="E56" s="29">
        <f t="shared" si="28"/>
        <v>33.51</v>
      </c>
      <c r="F56" s="29">
        <f t="shared" si="14"/>
        <v>3.3509999999999994E-14</v>
      </c>
      <c r="G56" s="28">
        <f t="shared" si="15"/>
        <v>3.7508988949999997E-14</v>
      </c>
      <c r="H56" s="45">
        <f t="shared" si="23"/>
        <v>0.10661414935312467</v>
      </c>
      <c r="I56" s="29">
        <f t="shared" si="16"/>
        <v>3.6860999999999998E-11</v>
      </c>
      <c r="J56" s="28">
        <f t="shared" si="17"/>
        <v>3.9989889500000027E-12</v>
      </c>
      <c r="K56" s="28">
        <f t="shared" si="18"/>
        <v>1.1240999999999998E-13</v>
      </c>
      <c r="L56" s="28">
        <f t="shared" si="19"/>
        <v>4.1113989500000031E-12</v>
      </c>
      <c r="M56" s="53">
        <f>J56/I56</f>
        <v>0.10848834676216063</v>
      </c>
      <c r="N56" s="54">
        <f>K56/I56</f>
        <v>3.0495645804508829E-3</v>
      </c>
      <c r="O56" s="53">
        <f>L56/I56</f>
        <v>0.11153791134261153</v>
      </c>
      <c r="P56" s="29">
        <v>1.1000000000000001</v>
      </c>
      <c r="Q56" s="12">
        <f t="shared" si="20"/>
        <v>1.0900000000000001</v>
      </c>
      <c r="R56" s="45">
        <f t="shared" si="21"/>
        <v>-9.0909090909090974E-3</v>
      </c>
      <c r="S56" s="42">
        <f t="shared" si="22"/>
        <v>27</v>
      </c>
      <c r="T56" s="51"/>
    </row>
    <row r="57" spans="1:20" x14ac:dyDescent="0.25">
      <c r="A57" s="1" t="s">
        <v>59</v>
      </c>
      <c r="B57" s="29">
        <v>112.41</v>
      </c>
      <c r="C57" s="29" t="str">
        <f t="shared" si="13"/>
        <v>med uptake</v>
      </c>
      <c r="D57" s="28">
        <f t="shared" si="28"/>
        <v>5.0000000000000008E-15</v>
      </c>
      <c r="E57" s="29">
        <f t="shared" si="28"/>
        <v>33.51</v>
      </c>
      <c r="F57" s="29">
        <f t="shared" si="14"/>
        <v>3.3509999999999994E-14</v>
      </c>
      <c r="G57" s="28">
        <f t="shared" si="15"/>
        <v>5.3504944749999994E-14</v>
      </c>
      <c r="H57" s="45">
        <f t="shared" si="23"/>
        <v>0.37370274548316401</v>
      </c>
      <c r="I57" s="29">
        <f t="shared" si="16"/>
        <v>3.6860999999999998E-11</v>
      </c>
      <c r="J57" s="28">
        <f t="shared" si="17"/>
        <v>1.999494475E-11</v>
      </c>
      <c r="K57" s="28">
        <f t="shared" si="18"/>
        <v>5.6205000000000011E-13</v>
      </c>
      <c r="L57" s="28">
        <f t="shared" si="19"/>
        <v>2.055699475E-11</v>
      </c>
      <c r="M57" s="53">
        <f>J57/I57</f>
        <v>0.54244173381080274</v>
      </c>
      <c r="N57" s="54">
        <f>K57/I57</f>
        <v>1.524782290225442E-2</v>
      </c>
      <c r="O57" s="53">
        <f>L57/I57</f>
        <v>0.5576895567130572</v>
      </c>
      <c r="P57" s="29">
        <v>1.1000000000000001</v>
      </c>
      <c r="Q57" s="12">
        <f t="shared" si="20"/>
        <v>1.07</v>
      </c>
      <c r="R57" s="45">
        <f t="shared" si="21"/>
        <v>-2.7272727272727296E-2</v>
      </c>
      <c r="S57" s="42">
        <f t="shared" si="22"/>
        <v>93</v>
      </c>
      <c r="T57" s="51"/>
    </row>
    <row r="58" spans="1:20" x14ac:dyDescent="0.25">
      <c r="A58" s="1" t="s">
        <v>59</v>
      </c>
      <c r="B58" s="29">
        <v>112.41</v>
      </c>
      <c r="C58" s="29" t="str">
        <f t="shared" si="13"/>
        <v>high uptake</v>
      </c>
      <c r="D58" s="28">
        <f t="shared" si="28"/>
        <v>1.0000000000000002E-14</v>
      </c>
      <c r="E58" s="29">
        <f t="shared" si="28"/>
        <v>33.51</v>
      </c>
      <c r="F58" s="29">
        <f t="shared" si="14"/>
        <v>3.3509999999999994E-14</v>
      </c>
      <c r="G58" s="28">
        <f t="shared" si="15"/>
        <v>7.3499889499999988E-14</v>
      </c>
      <c r="H58" s="45">
        <f t="shared" si="23"/>
        <v>0.54408094722373701</v>
      </c>
      <c r="I58" s="29">
        <f t="shared" si="16"/>
        <v>3.6860999999999998E-11</v>
      </c>
      <c r="J58" s="28">
        <f t="shared" si="17"/>
        <v>3.9989889499999993E-11</v>
      </c>
      <c r="K58" s="28">
        <f t="shared" si="18"/>
        <v>1.1241000000000002E-12</v>
      </c>
      <c r="L58" s="28">
        <f t="shared" si="19"/>
        <v>4.1113989499999993E-11</v>
      </c>
      <c r="M58" s="53">
        <f>J58/I58</f>
        <v>1.0848834676216053</v>
      </c>
      <c r="N58" s="54">
        <f>K58/I58</f>
        <v>3.049564580450884E-2</v>
      </c>
      <c r="O58" s="53">
        <f>L58/I58</f>
        <v>1.1153791134261142</v>
      </c>
      <c r="P58" s="29">
        <v>1.1000000000000001</v>
      </c>
      <c r="Q58" s="12">
        <f t="shared" si="20"/>
        <v>1.06</v>
      </c>
      <c r="R58" s="45">
        <f t="shared" si="21"/>
        <v>-3.636363636363639E-2</v>
      </c>
      <c r="S58" s="42">
        <f t="shared" si="22"/>
        <v>136</v>
      </c>
      <c r="T58" s="5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9" sqref="A9:G10"/>
    </sheetView>
  </sheetViews>
  <sheetFormatPr defaultRowHeight="15" x14ac:dyDescent="0.25"/>
  <cols>
    <col min="1" max="1" width="17.42578125" bestFit="1" customWidth="1"/>
    <col min="2" max="2" width="19.85546875" bestFit="1" customWidth="1"/>
    <col min="3" max="3" width="16.5703125" bestFit="1" customWidth="1"/>
    <col min="4" max="4" width="14.42578125" bestFit="1" customWidth="1"/>
    <col min="5" max="5" width="15.140625" bestFit="1" customWidth="1"/>
    <col min="6" max="6" width="14" bestFit="1" customWidth="1"/>
    <col min="7" max="7" width="13.42578125" bestFit="1" customWidth="1"/>
    <col min="8" max="8" width="39" customWidth="1"/>
    <col min="9" max="9" width="22" bestFit="1" customWidth="1"/>
  </cols>
  <sheetData>
    <row r="1" spans="1:10" x14ac:dyDescent="0.25">
      <c r="A1" s="1" t="s">
        <v>0</v>
      </c>
      <c r="B1" s="2">
        <v>10000000</v>
      </c>
      <c r="C1" s="1" t="s">
        <v>1</v>
      </c>
    </row>
    <row r="2" spans="1:10" x14ac:dyDescent="0.25">
      <c r="A2" s="1" t="s">
        <v>2</v>
      </c>
      <c r="B2" s="2">
        <v>6.0220000000000003E+23</v>
      </c>
      <c r="C2" s="1" t="s">
        <v>15</v>
      </c>
    </row>
    <row r="4" spans="1:10" x14ac:dyDescent="0.25">
      <c r="A4" s="9" t="s">
        <v>52</v>
      </c>
      <c r="B4" s="2" t="s">
        <v>45</v>
      </c>
      <c r="C4" s="1" t="s">
        <v>44</v>
      </c>
      <c r="D4" s="1" t="s">
        <v>42</v>
      </c>
      <c r="E4" s="1" t="s">
        <v>43</v>
      </c>
      <c r="F4" s="1" t="s">
        <v>40</v>
      </c>
      <c r="G4" s="1" t="s">
        <v>41</v>
      </c>
      <c r="H4" s="1" t="s">
        <v>34</v>
      </c>
    </row>
    <row r="5" spans="1:10" x14ac:dyDescent="0.25">
      <c r="A5" s="13" t="s">
        <v>37</v>
      </c>
      <c r="B5" s="12">
        <v>50</v>
      </c>
      <c r="C5" s="14">
        <v>125</v>
      </c>
      <c r="D5" s="12">
        <f t="shared" ref="D5:E7" si="0">ROUND((B5*3/4/PI())^(1/3)*2,2)</f>
        <v>4.57</v>
      </c>
      <c r="E5" s="12">
        <f t="shared" si="0"/>
        <v>6.2</v>
      </c>
      <c r="F5" s="12">
        <v>1.1000000000000001</v>
      </c>
      <c r="G5" s="12">
        <v>1.1200000000000001</v>
      </c>
      <c r="H5" s="1" t="s">
        <v>33</v>
      </c>
    </row>
    <row r="6" spans="1:10" x14ac:dyDescent="0.25">
      <c r="A6" s="13" t="s">
        <v>36</v>
      </c>
      <c r="B6" s="12">
        <v>75</v>
      </c>
      <c r="C6" s="14">
        <v>250</v>
      </c>
      <c r="D6" s="12">
        <f t="shared" si="0"/>
        <v>5.23</v>
      </c>
      <c r="E6" s="12">
        <f t="shared" si="0"/>
        <v>7.82</v>
      </c>
      <c r="F6" s="12">
        <v>1.08</v>
      </c>
      <c r="G6" s="12">
        <v>1.0900000000000001</v>
      </c>
      <c r="H6" s="1" t="s">
        <v>33</v>
      </c>
    </row>
    <row r="7" spans="1:10" x14ac:dyDescent="0.25">
      <c r="A7" s="13" t="s">
        <v>38</v>
      </c>
      <c r="B7" s="12">
        <v>40</v>
      </c>
      <c r="C7" s="14">
        <v>160</v>
      </c>
      <c r="D7" s="12">
        <f t="shared" si="0"/>
        <v>4.24</v>
      </c>
      <c r="E7" s="12">
        <f t="shared" si="0"/>
        <v>6.74</v>
      </c>
      <c r="F7" s="12">
        <v>1.1000000000000001</v>
      </c>
      <c r="G7" s="12">
        <v>1.1200000000000001</v>
      </c>
      <c r="H7" s="1" t="s">
        <v>33</v>
      </c>
    </row>
    <row r="9" spans="1:10" x14ac:dyDescent="0.25">
      <c r="A9" s="17" t="s">
        <v>54</v>
      </c>
      <c r="B9" s="18" t="s">
        <v>3</v>
      </c>
      <c r="C9" s="18" t="s">
        <v>55</v>
      </c>
      <c r="D9" s="18" t="s">
        <v>35</v>
      </c>
      <c r="E9" s="18" t="s">
        <v>39</v>
      </c>
      <c r="F9" s="18" t="s">
        <v>183</v>
      </c>
      <c r="G9" s="18" t="s">
        <v>65</v>
      </c>
      <c r="H9" s="16"/>
    </row>
    <row r="10" spans="1:10" x14ac:dyDescent="0.25">
      <c r="A10" s="16" t="s">
        <v>66</v>
      </c>
      <c r="B10" s="27">
        <v>1</v>
      </c>
      <c r="C10" s="27">
        <v>1</v>
      </c>
      <c r="D10" s="27">
        <v>4</v>
      </c>
      <c r="E10" s="27">
        <f>ROUND(4/3*PI()*(D10/2)^3,2)</f>
        <v>33.51</v>
      </c>
      <c r="F10" s="67">
        <f>ROUND(AVERAGE(F5:G7),3)</f>
        <v>1.1020000000000001</v>
      </c>
      <c r="G10" s="27">
        <f>E10*0.000000000001*F10</f>
        <v>3.6928019999999996E-11</v>
      </c>
    </row>
    <row r="11" spans="1:10" x14ac:dyDescent="0.25">
      <c r="A11" s="16" t="s">
        <v>67</v>
      </c>
      <c r="B11" s="11">
        <v>1</v>
      </c>
      <c r="C11" s="11">
        <v>1</v>
      </c>
      <c r="D11" s="11">
        <v>8</v>
      </c>
      <c r="E11" s="11">
        <f>ROUND(4/3*PI()*(D11/2)^3,2)</f>
        <v>268.08</v>
      </c>
      <c r="F11" s="24">
        <f>F10</f>
        <v>1.1020000000000001</v>
      </c>
      <c r="G11" s="66">
        <f t="shared" ref="G11:G12" si="1">E11*0.000000000001*F11</f>
        <v>2.9542415999999997E-10</v>
      </c>
    </row>
    <row r="12" spans="1:10" x14ac:dyDescent="0.25">
      <c r="A12" s="16" t="s">
        <v>68</v>
      </c>
      <c r="B12" s="11">
        <v>1</v>
      </c>
      <c r="C12" s="11">
        <v>1</v>
      </c>
      <c r="D12" s="11">
        <v>10</v>
      </c>
      <c r="E12" s="11">
        <f>ROUND(4/3*PI()*(D12/2)^3,2)</f>
        <v>523.6</v>
      </c>
      <c r="F12" s="24">
        <f>F11</f>
        <v>1.1020000000000001</v>
      </c>
      <c r="G12" s="11">
        <f t="shared" si="1"/>
        <v>5.770072000000001E-10</v>
      </c>
    </row>
    <row r="13" spans="1:10" x14ac:dyDescent="0.25">
      <c r="A13" s="16"/>
    </row>
    <row r="14" spans="1:10" ht="30" x14ac:dyDescent="0.25">
      <c r="A14" s="22" t="s">
        <v>63</v>
      </c>
      <c r="B14" s="19" t="s">
        <v>56</v>
      </c>
      <c r="C14" s="8" t="s">
        <v>16</v>
      </c>
      <c r="D14" s="23" t="s">
        <v>4</v>
      </c>
      <c r="E14" s="23" t="s">
        <v>5</v>
      </c>
      <c r="F14" s="7" t="s">
        <v>64</v>
      </c>
      <c r="G14" s="25" t="s">
        <v>69</v>
      </c>
      <c r="H14" s="3" t="s">
        <v>184</v>
      </c>
      <c r="I14" s="1" t="s">
        <v>182</v>
      </c>
    </row>
    <row r="15" spans="1:10" x14ac:dyDescent="0.25">
      <c r="A15" s="16" t="s">
        <v>29</v>
      </c>
      <c r="B15" s="16">
        <v>54.938000000000002</v>
      </c>
      <c r="C15">
        <v>10</v>
      </c>
      <c r="D15" s="20">
        <f>C15*$B$2*0.000001*$B$10*0.001/($B$10*$C$10*$B$1)</f>
        <v>602200000</v>
      </c>
      <c r="E15" s="20">
        <f>D15/$B$2</f>
        <v>9.9999999999999988E-16</v>
      </c>
      <c r="F15" s="20">
        <f>E15*B15</f>
        <v>5.4937999999999998E-14</v>
      </c>
      <c r="G15" s="26">
        <f>F15/$G$10</f>
        <v>1.4877050001597704E-3</v>
      </c>
      <c r="H15" s="65">
        <f>ROUND($F$10+F15/($E$10*0.000000000001),3)</f>
        <v>1.1040000000000001</v>
      </c>
      <c r="I15" s="68">
        <f>(H15-$F$10)/$F$10</f>
        <v>1.814882032667878E-3</v>
      </c>
    </row>
    <row r="16" spans="1:10" x14ac:dyDescent="0.25">
      <c r="A16" s="16" t="s">
        <v>29</v>
      </c>
      <c r="B16" s="16">
        <v>54.938000000000002</v>
      </c>
      <c r="C16">
        <v>100</v>
      </c>
      <c r="D16" s="20">
        <f t="shared" ref="D15:D30" si="2">C16*$B$2*0.000001*$B$10*0.001/($B$10*$C$10*$B$1)</f>
        <v>6022000000</v>
      </c>
      <c r="E16" s="20">
        <f t="shared" ref="E15:E30" si="3">D16/$B$2</f>
        <v>1E-14</v>
      </c>
      <c r="F16" s="20">
        <f t="shared" ref="F15:F30" si="4">E16*B16</f>
        <v>5.4938000000000003E-13</v>
      </c>
      <c r="G16" s="26">
        <f t="shared" ref="G16:G30" si="5">F16/$G$10</f>
        <v>1.4877050001597706E-2</v>
      </c>
      <c r="H16" s="65">
        <f t="shared" ref="H16:H30" si="6">ROUND($F$10+F16/($E$10*0.000000000001),3)</f>
        <v>1.1180000000000001</v>
      </c>
      <c r="I16" s="68">
        <f t="shared" ref="I16:I30" si="7">(H16-$F$10)/$F$10</f>
        <v>1.4519056261343024E-2</v>
      </c>
      <c r="J16" t="s">
        <v>185</v>
      </c>
    </row>
    <row r="17" spans="1:9" x14ac:dyDescent="0.25">
      <c r="A17" t="s">
        <v>57</v>
      </c>
      <c r="B17">
        <v>58.933</v>
      </c>
      <c r="C17">
        <v>10</v>
      </c>
      <c r="D17" s="20">
        <f t="shared" si="2"/>
        <v>602200000</v>
      </c>
      <c r="E17" s="20">
        <f t="shared" si="3"/>
        <v>9.9999999999999988E-16</v>
      </c>
      <c r="F17" s="20">
        <f t="shared" si="4"/>
        <v>5.8932999999999997E-14</v>
      </c>
      <c r="G17" s="26">
        <f t="shared" si="5"/>
        <v>1.5958884337692626E-3</v>
      </c>
      <c r="H17" s="65">
        <f t="shared" si="6"/>
        <v>1.1040000000000001</v>
      </c>
      <c r="I17" s="68">
        <f t="shared" si="7"/>
        <v>1.814882032667878E-3</v>
      </c>
    </row>
    <row r="18" spans="1:9" x14ac:dyDescent="0.25">
      <c r="A18" t="s">
        <v>57</v>
      </c>
      <c r="B18">
        <v>58.933</v>
      </c>
      <c r="C18">
        <v>100</v>
      </c>
      <c r="D18" s="20">
        <f t="shared" si="2"/>
        <v>6022000000</v>
      </c>
      <c r="E18" s="20">
        <f t="shared" si="3"/>
        <v>1E-14</v>
      </c>
      <c r="F18" s="20">
        <f t="shared" si="4"/>
        <v>5.8932999999999997E-13</v>
      </c>
      <c r="G18" s="26">
        <f t="shared" si="5"/>
        <v>1.5958884337692627E-2</v>
      </c>
      <c r="H18" s="65">
        <f t="shared" si="6"/>
        <v>1.1200000000000001</v>
      </c>
      <c r="I18" s="68">
        <f t="shared" si="7"/>
        <v>1.6333938294010902E-2</v>
      </c>
    </row>
    <row r="19" spans="1:9" x14ac:dyDescent="0.25">
      <c r="A19" t="s">
        <v>58</v>
      </c>
      <c r="B19">
        <v>58.692999999999998</v>
      </c>
      <c r="C19">
        <v>10</v>
      </c>
      <c r="D19" s="20">
        <f t="shared" si="2"/>
        <v>602200000</v>
      </c>
      <c r="E19" s="20">
        <f t="shared" si="3"/>
        <v>9.9999999999999988E-16</v>
      </c>
      <c r="F19" s="20">
        <f t="shared" si="4"/>
        <v>5.869299999999999E-14</v>
      </c>
      <c r="G19" s="26">
        <f t="shared" si="5"/>
        <v>1.5893893038402816E-3</v>
      </c>
      <c r="H19" s="65">
        <f t="shared" si="6"/>
        <v>1.1040000000000001</v>
      </c>
      <c r="I19" s="68">
        <f t="shared" si="7"/>
        <v>1.814882032667878E-3</v>
      </c>
    </row>
    <row r="20" spans="1:9" x14ac:dyDescent="0.25">
      <c r="A20" t="s">
        <v>58</v>
      </c>
      <c r="B20">
        <v>58.692999999999998</v>
      </c>
      <c r="C20">
        <v>100</v>
      </c>
      <c r="D20" s="20">
        <f t="shared" si="2"/>
        <v>6022000000</v>
      </c>
      <c r="E20" s="20">
        <f t="shared" si="3"/>
        <v>1E-14</v>
      </c>
      <c r="F20" s="20">
        <f t="shared" si="4"/>
        <v>5.8693E-13</v>
      </c>
      <c r="G20" s="26">
        <f t="shared" si="5"/>
        <v>1.5893893038402818E-2</v>
      </c>
      <c r="H20" s="65">
        <f t="shared" si="6"/>
        <v>1.1200000000000001</v>
      </c>
      <c r="I20" s="68">
        <f t="shared" si="7"/>
        <v>1.6333938294010902E-2</v>
      </c>
    </row>
    <row r="21" spans="1:9" x14ac:dyDescent="0.25">
      <c r="A21" t="s">
        <v>31</v>
      </c>
      <c r="B21">
        <v>63.545999999999999</v>
      </c>
      <c r="C21">
        <v>10</v>
      </c>
      <c r="D21" s="20">
        <f t="shared" si="2"/>
        <v>602200000</v>
      </c>
      <c r="E21" s="20">
        <f t="shared" si="3"/>
        <v>9.9999999999999988E-16</v>
      </c>
      <c r="F21" s="20">
        <f t="shared" si="4"/>
        <v>6.3545999999999992E-14</v>
      </c>
      <c r="G21" s="26">
        <f t="shared" si="5"/>
        <v>1.72080712694588E-3</v>
      </c>
      <c r="H21" s="65">
        <f t="shared" si="6"/>
        <v>1.1040000000000001</v>
      </c>
      <c r="I21" s="68">
        <f t="shared" si="7"/>
        <v>1.814882032667878E-3</v>
      </c>
    </row>
    <row r="22" spans="1:9" x14ac:dyDescent="0.25">
      <c r="A22" t="s">
        <v>31</v>
      </c>
      <c r="B22">
        <v>63.545999999999999</v>
      </c>
      <c r="C22">
        <v>100</v>
      </c>
      <c r="D22" s="20">
        <f t="shared" si="2"/>
        <v>6022000000</v>
      </c>
      <c r="E22" s="20">
        <f t="shared" si="3"/>
        <v>1E-14</v>
      </c>
      <c r="F22" s="20">
        <f t="shared" si="4"/>
        <v>6.3546E-13</v>
      </c>
      <c r="G22" s="26">
        <f t="shared" si="5"/>
        <v>1.7208071269458804E-2</v>
      </c>
      <c r="H22" s="65">
        <f t="shared" si="6"/>
        <v>1.121</v>
      </c>
      <c r="I22" s="68">
        <f t="shared" si="7"/>
        <v>1.7241379310344741E-2</v>
      </c>
    </row>
    <row r="23" spans="1:9" x14ac:dyDescent="0.25">
      <c r="A23" t="s">
        <v>32</v>
      </c>
      <c r="B23">
        <v>65.38</v>
      </c>
      <c r="C23">
        <v>10</v>
      </c>
      <c r="D23" s="20">
        <f t="shared" si="2"/>
        <v>602200000</v>
      </c>
      <c r="E23" s="20">
        <f t="shared" si="3"/>
        <v>9.9999999999999988E-16</v>
      </c>
      <c r="F23" s="20">
        <f t="shared" si="4"/>
        <v>6.5379999999999982E-14</v>
      </c>
      <c r="G23" s="26">
        <f t="shared" si="5"/>
        <v>1.7704713114865078E-3</v>
      </c>
      <c r="H23" s="65">
        <f t="shared" si="6"/>
        <v>1.1040000000000001</v>
      </c>
      <c r="I23" s="68">
        <f t="shared" si="7"/>
        <v>1.814882032667878E-3</v>
      </c>
    </row>
    <row r="24" spans="1:9" x14ac:dyDescent="0.25">
      <c r="A24" t="s">
        <v>32</v>
      </c>
      <c r="B24">
        <v>65.38</v>
      </c>
      <c r="C24">
        <v>100</v>
      </c>
      <c r="D24" s="20">
        <f t="shared" si="2"/>
        <v>6022000000</v>
      </c>
      <c r="E24" s="20">
        <f t="shared" si="3"/>
        <v>1E-14</v>
      </c>
      <c r="F24" s="20">
        <f t="shared" si="4"/>
        <v>6.538E-13</v>
      </c>
      <c r="G24" s="26">
        <f t="shared" si="5"/>
        <v>1.7704713114865083E-2</v>
      </c>
      <c r="H24" s="65">
        <f t="shared" si="6"/>
        <v>1.1220000000000001</v>
      </c>
      <c r="I24" s="68">
        <f t="shared" si="7"/>
        <v>1.8148820326678781E-2</v>
      </c>
    </row>
    <row r="25" spans="1:9" x14ac:dyDescent="0.25">
      <c r="A25" t="s">
        <v>59</v>
      </c>
      <c r="B25">
        <v>112.411</v>
      </c>
      <c r="C25">
        <v>10</v>
      </c>
      <c r="D25" s="20">
        <f t="shared" si="2"/>
        <v>602200000</v>
      </c>
      <c r="E25" s="20">
        <f t="shared" si="3"/>
        <v>9.9999999999999988E-16</v>
      </c>
      <c r="F25" s="20">
        <f t="shared" si="4"/>
        <v>1.1241099999999998E-13</v>
      </c>
      <c r="G25" s="26">
        <f t="shared" si="5"/>
        <v>3.0440570601943996E-3</v>
      </c>
      <c r="H25" s="65">
        <f t="shared" si="6"/>
        <v>1.105</v>
      </c>
      <c r="I25" s="68">
        <f t="shared" si="7"/>
        <v>2.7223230490017163E-3</v>
      </c>
    </row>
    <row r="26" spans="1:9" x14ac:dyDescent="0.25">
      <c r="A26" t="s">
        <v>59</v>
      </c>
      <c r="B26">
        <v>112.411</v>
      </c>
      <c r="C26">
        <v>100</v>
      </c>
      <c r="D26" s="20">
        <f t="shared" si="2"/>
        <v>6022000000</v>
      </c>
      <c r="E26" s="20">
        <f t="shared" si="3"/>
        <v>1E-14</v>
      </c>
      <c r="F26" s="20">
        <f t="shared" si="4"/>
        <v>1.1241099999999999E-12</v>
      </c>
      <c r="G26" s="26">
        <f t="shared" si="5"/>
        <v>3.0440570601943998E-2</v>
      </c>
      <c r="H26" s="65">
        <f t="shared" si="6"/>
        <v>1.1359999999999999</v>
      </c>
      <c r="I26" s="68">
        <f t="shared" si="7"/>
        <v>3.0852994555353726E-2</v>
      </c>
    </row>
    <row r="27" spans="1:9" x14ac:dyDescent="0.25">
      <c r="A27" t="s">
        <v>60</v>
      </c>
      <c r="B27">
        <v>200.59</v>
      </c>
      <c r="C27">
        <v>10</v>
      </c>
      <c r="D27" s="20">
        <f t="shared" si="2"/>
        <v>602200000</v>
      </c>
      <c r="E27" s="20">
        <f t="shared" si="3"/>
        <v>9.9999999999999988E-16</v>
      </c>
      <c r="F27" s="20">
        <f t="shared" si="4"/>
        <v>2.0058999999999998E-13</v>
      </c>
      <c r="G27" s="26">
        <f t="shared" si="5"/>
        <v>5.4319186352260428E-3</v>
      </c>
      <c r="H27" s="65">
        <f t="shared" si="6"/>
        <v>1.1080000000000001</v>
      </c>
      <c r="I27" s="68">
        <f t="shared" si="7"/>
        <v>5.4446460980036339E-3</v>
      </c>
    </row>
    <row r="28" spans="1:9" x14ac:dyDescent="0.25">
      <c r="A28" t="s">
        <v>60</v>
      </c>
      <c r="B28">
        <v>200.59</v>
      </c>
      <c r="C28">
        <v>100</v>
      </c>
      <c r="D28" s="20">
        <f t="shared" si="2"/>
        <v>6022000000</v>
      </c>
      <c r="E28" s="20">
        <f t="shared" si="3"/>
        <v>1E-14</v>
      </c>
      <c r="F28" s="20">
        <f t="shared" si="4"/>
        <v>2.0059000000000002E-12</v>
      </c>
      <c r="G28" s="26">
        <f t="shared" si="5"/>
        <v>5.4319186352260435E-2</v>
      </c>
      <c r="H28" s="65">
        <f t="shared" si="6"/>
        <v>1.1619999999999999</v>
      </c>
      <c r="I28" s="68">
        <f t="shared" si="7"/>
        <v>5.4446460980036138E-2</v>
      </c>
    </row>
    <row r="29" spans="1:9" x14ac:dyDescent="0.25">
      <c r="A29" t="s">
        <v>61</v>
      </c>
      <c r="B29">
        <v>207.2</v>
      </c>
      <c r="C29">
        <v>10</v>
      </c>
      <c r="D29" s="20">
        <f t="shared" si="2"/>
        <v>602200000</v>
      </c>
      <c r="E29" s="20">
        <f t="shared" si="3"/>
        <v>9.9999999999999988E-16</v>
      </c>
      <c r="F29" s="20">
        <f t="shared" si="4"/>
        <v>2.0719999999999997E-13</v>
      </c>
      <c r="G29" s="26">
        <f t="shared" si="5"/>
        <v>5.6109155053533869E-3</v>
      </c>
      <c r="H29" s="65">
        <f t="shared" si="6"/>
        <v>1.1080000000000001</v>
      </c>
      <c r="I29" s="68">
        <f t="shared" si="7"/>
        <v>5.4446460980036339E-3</v>
      </c>
    </row>
    <row r="30" spans="1:9" x14ac:dyDescent="0.25">
      <c r="A30" t="s">
        <v>61</v>
      </c>
      <c r="B30">
        <v>207.2</v>
      </c>
      <c r="C30">
        <v>100</v>
      </c>
      <c r="D30" s="20">
        <f t="shared" si="2"/>
        <v>6022000000</v>
      </c>
      <c r="E30" s="20">
        <f t="shared" si="3"/>
        <v>1E-14</v>
      </c>
      <c r="F30" s="20">
        <f t="shared" si="4"/>
        <v>2.0720000000000001E-12</v>
      </c>
      <c r="G30" s="26">
        <f t="shared" si="5"/>
        <v>5.610915505353388E-2</v>
      </c>
      <c r="H30" s="65">
        <f t="shared" si="6"/>
        <v>1.1639999999999999</v>
      </c>
      <c r="I30" s="68">
        <f t="shared" si="7"/>
        <v>5.6261343012704017E-2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5" zoomScaleNormal="85" workbookViewId="0">
      <selection activeCell="E33" sqref="E33"/>
    </sheetView>
  </sheetViews>
  <sheetFormatPr defaultRowHeight="15" x14ac:dyDescent="0.25"/>
  <cols>
    <col min="1" max="1" width="18.140625" bestFit="1" customWidth="1"/>
    <col min="2" max="2" width="12.28515625" bestFit="1" customWidth="1"/>
    <col min="3" max="3" width="16.42578125" bestFit="1" customWidth="1"/>
    <col min="4" max="4" width="15.140625" bestFit="1" customWidth="1"/>
    <col min="5" max="5" width="19.7109375" customWidth="1"/>
    <col min="6" max="6" width="15.7109375" bestFit="1" customWidth="1"/>
    <col min="7" max="7" width="26.42578125" bestFit="1" customWidth="1"/>
    <col min="8" max="8" width="11.7109375" bestFit="1" customWidth="1"/>
    <col min="9" max="10" width="13.85546875" bestFit="1" customWidth="1"/>
    <col min="11" max="11" width="7.85546875" bestFit="1" customWidth="1"/>
    <col min="12" max="12" width="3.85546875" bestFit="1" customWidth="1"/>
    <col min="13" max="13" width="9.5703125" bestFit="1" customWidth="1"/>
    <col min="14" max="14" width="14.7109375" bestFit="1" customWidth="1"/>
    <col min="15" max="15" width="14.28515625" bestFit="1" customWidth="1"/>
    <col min="16" max="16" width="11.28515625" bestFit="1" customWidth="1"/>
  </cols>
  <sheetData>
    <row r="1" spans="1:7" ht="30" x14ac:dyDescent="0.25">
      <c r="A1" s="50" t="s">
        <v>62</v>
      </c>
      <c r="B1" s="8" t="s">
        <v>177</v>
      </c>
      <c r="C1" s="3" t="s">
        <v>8</v>
      </c>
      <c r="D1" s="3" t="s">
        <v>17</v>
      </c>
      <c r="E1" s="4" t="s">
        <v>4</v>
      </c>
      <c r="F1" s="6" t="s">
        <v>5</v>
      </c>
      <c r="G1" s="47" t="s">
        <v>174</v>
      </c>
    </row>
    <row r="2" spans="1:7" x14ac:dyDescent="0.25">
      <c r="A2" s="61" t="s">
        <v>19</v>
      </c>
      <c r="B2" s="62">
        <f>uptake!B5*1000000</f>
        <v>10</v>
      </c>
      <c r="C2" s="62">
        <f>uptake!D5</f>
        <v>1</v>
      </c>
      <c r="D2" s="62">
        <f>uptake!E5</f>
        <v>4</v>
      </c>
      <c r="E2" s="63">
        <f>uptake!G5</f>
        <v>602200000</v>
      </c>
      <c r="F2" s="63">
        <f>uptake!H5</f>
        <v>9.9999999999999988E-16</v>
      </c>
      <c r="G2" s="62">
        <f>uptake!I5</f>
        <v>29.84</v>
      </c>
    </row>
    <row r="3" spans="1:7" x14ac:dyDescent="0.25">
      <c r="A3" s="61" t="s">
        <v>20</v>
      </c>
      <c r="B3" s="62">
        <f>uptake!B6*1000000</f>
        <v>50</v>
      </c>
      <c r="C3" s="62">
        <f>uptake!D6</f>
        <v>1</v>
      </c>
      <c r="D3" s="62">
        <f>uptake!E6</f>
        <v>4</v>
      </c>
      <c r="E3" s="63">
        <f>uptake!G6</f>
        <v>3011000000.0000005</v>
      </c>
      <c r="F3" s="63">
        <f>uptake!H6</f>
        <v>5.0000000000000008E-15</v>
      </c>
      <c r="G3" s="62">
        <f>uptake!I6</f>
        <v>149.21</v>
      </c>
    </row>
    <row r="4" spans="1:7" x14ac:dyDescent="0.25">
      <c r="A4" s="61" t="s">
        <v>18</v>
      </c>
      <c r="B4" s="62">
        <f>uptake!B7*1000000</f>
        <v>100</v>
      </c>
      <c r="C4" s="62">
        <f>uptake!D7</f>
        <v>1</v>
      </c>
      <c r="D4" s="62">
        <f>uptake!E7</f>
        <v>4</v>
      </c>
      <c r="E4" s="63">
        <f>uptake!G7</f>
        <v>6022000000.000001</v>
      </c>
      <c r="F4" s="63">
        <f>uptake!H7</f>
        <v>1.0000000000000002E-14</v>
      </c>
      <c r="G4" s="62">
        <f>uptake!I7</f>
        <v>298.42</v>
      </c>
    </row>
    <row r="5" spans="1:7" x14ac:dyDescent="0.25">
      <c r="A5" s="61" t="s">
        <v>24</v>
      </c>
      <c r="B5" s="62">
        <f>uptake!B8*1000000</f>
        <v>50</v>
      </c>
      <c r="C5" s="62">
        <f>uptake!D8</f>
        <v>1</v>
      </c>
      <c r="D5" s="62">
        <f>uptake!E8</f>
        <v>10</v>
      </c>
      <c r="E5" s="63">
        <f>uptake!G8</f>
        <v>3011000000.0000005</v>
      </c>
      <c r="F5" s="63">
        <f>uptake!H8</f>
        <v>5.0000000000000008E-15</v>
      </c>
      <c r="G5" s="62">
        <f>uptake!I8</f>
        <v>9.5500000000000007</v>
      </c>
    </row>
    <row r="6" spans="1:7" x14ac:dyDescent="0.25">
      <c r="A6" s="61" t="s">
        <v>21</v>
      </c>
      <c r="B6" s="62">
        <f>uptake!B9*1000000</f>
        <v>50</v>
      </c>
      <c r="C6" s="62">
        <f>uptake!D9</f>
        <v>10</v>
      </c>
      <c r="D6" s="62">
        <f>uptake!E9</f>
        <v>4</v>
      </c>
      <c r="E6" s="63">
        <f>uptake!G9</f>
        <v>301100000.00000006</v>
      </c>
      <c r="F6" s="63">
        <f>uptake!H9</f>
        <v>5.0000000000000004E-16</v>
      </c>
      <c r="G6" s="62">
        <f>uptake!I9</f>
        <v>14.92</v>
      </c>
    </row>
    <row r="7" spans="1:7" x14ac:dyDescent="0.25">
      <c r="A7" s="61" t="s">
        <v>25</v>
      </c>
      <c r="B7" s="62">
        <f>uptake!B10*1000000</f>
        <v>50</v>
      </c>
      <c r="C7" s="62">
        <f>uptake!D10</f>
        <v>10</v>
      </c>
      <c r="D7" s="62">
        <f>uptake!E10</f>
        <v>10</v>
      </c>
      <c r="E7" s="63">
        <f>uptake!G10</f>
        <v>301100000.00000006</v>
      </c>
      <c r="F7" s="63">
        <f>uptake!H10</f>
        <v>5.0000000000000004E-16</v>
      </c>
      <c r="G7" s="62">
        <f>uptake!I10</f>
        <v>0.95</v>
      </c>
    </row>
    <row r="9" spans="1:7" ht="30" x14ac:dyDescent="0.25">
      <c r="A9" s="49" t="s">
        <v>176</v>
      </c>
    </row>
    <row r="10" spans="1:7" ht="30" x14ac:dyDescent="0.25">
      <c r="A10" s="35" t="str">
        <f>uptake!A24</f>
        <v>metal</v>
      </c>
      <c r="B10" s="35" t="s">
        <v>177</v>
      </c>
      <c r="C10" s="35" t="str">
        <f>uptake!I24</f>
        <v>density
percent change</v>
      </c>
      <c r="D10" s="35" t="str">
        <f>uptake!L24</f>
        <v>mass change</v>
      </c>
    </row>
    <row r="11" spans="1:7" x14ac:dyDescent="0.25">
      <c r="A11" s="57" t="str">
        <f>uptake!A25</f>
        <v>Mn</v>
      </c>
      <c r="B11" s="58">
        <f>uptake!C25*1000000</f>
        <v>10</v>
      </c>
      <c r="C11" s="59">
        <f>uptake!I25</f>
        <v>1.4903956131106612E-3</v>
      </c>
      <c r="D11" s="60">
        <f>uptake!L25</f>
        <v>1.4903956131107443E-3</v>
      </c>
    </row>
    <row r="12" spans="1:7" x14ac:dyDescent="0.25">
      <c r="A12" s="57" t="str">
        <f>uptake!A28</f>
        <v>Sr</v>
      </c>
      <c r="B12" s="58">
        <f>uptake!C28*1000000</f>
        <v>10</v>
      </c>
      <c r="C12" s="59">
        <f>uptake!I28</f>
        <v>2.3770152466554323E-3</v>
      </c>
      <c r="D12" s="60">
        <f>uptake!L28</f>
        <v>2.3770152466554102E-3</v>
      </c>
    </row>
    <row r="13" spans="1:7" x14ac:dyDescent="0.25">
      <c r="A13" s="57" t="str">
        <f>uptake!A31</f>
        <v>Cd</v>
      </c>
      <c r="B13" s="58">
        <f>uptake!C31*1000000</f>
        <v>10</v>
      </c>
      <c r="C13" s="59">
        <f>uptake!I31</f>
        <v>3.0495353101636286E-3</v>
      </c>
      <c r="D13" s="60">
        <f>uptake!L31</f>
        <v>3.049535310163682E-3</v>
      </c>
    </row>
    <row r="14" spans="1:7" x14ac:dyDescent="0.25">
      <c r="A14" s="57" t="str">
        <f>uptake!A26</f>
        <v>Mn</v>
      </c>
      <c r="B14" s="58">
        <f>uptake!C26*1000000</f>
        <v>50</v>
      </c>
      <c r="C14" s="59">
        <f>uptake!I26</f>
        <v>7.4519780655533082E-3</v>
      </c>
      <c r="D14" s="60">
        <f>uptake!L26</f>
        <v>7.4519780655533706E-3</v>
      </c>
    </row>
    <row r="15" spans="1:7" x14ac:dyDescent="0.25">
      <c r="A15" s="57" t="str">
        <f>uptake!A29</f>
        <v>Sr</v>
      </c>
      <c r="B15" s="58">
        <f>uptake!C29*1000000</f>
        <v>50</v>
      </c>
      <c r="C15" s="59">
        <f>uptake!I29</f>
        <v>1.1885076233277165E-2</v>
      </c>
      <c r="D15" s="60">
        <f>uptake!L29</f>
        <v>1.1885076233277227E-2</v>
      </c>
    </row>
    <row r="16" spans="1:7" x14ac:dyDescent="0.25">
      <c r="A16" s="57" t="str">
        <f>uptake!A32</f>
        <v>Cd</v>
      </c>
      <c r="B16" s="58">
        <f>uptake!C32*1000000</f>
        <v>50</v>
      </c>
      <c r="C16" s="59">
        <f>uptake!I32</f>
        <v>1.5247676550818148E-2</v>
      </c>
      <c r="D16" s="60">
        <f>uptake!L32</f>
        <v>1.5247676550818235E-2</v>
      </c>
    </row>
    <row r="17" spans="1:16" x14ac:dyDescent="0.25">
      <c r="A17" s="57" t="str">
        <f>uptake!A27</f>
        <v>Mn</v>
      </c>
      <c r="B17" s="58">
        <f>uptake!C27*1000000</f>
        <v>100</v>
      </c>
      <c r="C17" s="59">
        <f>uptake!I27</f>
        <v>1.4903956131106616E-2</v>
      </c>
      <c r="D17" s="60">
        <f>uptake!L27</f>
        <v>1.4903956131106566E-2</v>
      </c>
    </row>
    <row r="18" spans="1:16" x14ac:dyDescent="0.25">
      <c r="A18" s="57" t="str">
        <f>uptake!A30</f>
        <v>Sr</v>
      </c>
      <c r="B18" s="58">
        <f>uptake!C30*1000000</f>
        <v>100</v>
      </c>
      <c r="C18" s="59">
        <f>uptake!I30</f>
        <v>2.3770152466554329E-2</v>
      </c>
      <c r="D18" s="60">
        <f>uptake!L30</f>
        <v>2.3770152466554281E-2</v>
      </c>
    </row>
    <row r="19" spans="1:16" x14ac:dyDescent="0.25">
      <c r="A19" s="57" t="str">
        <f>uptake!A33</f>
        <v>Cd</v>
      </c>
      <c r="B19" s="58">
        <f>uptake!C33*1000000</f>
        <v>100</v>
      </c>
      <c r="C19" s="59">
        <f>uptake!I33</f>
        <v>3.0495353101636296E-2</v>
      </c>
      <c r="D19" s="60">
        <f>uptake!L33</f>
        <v>3.0495353101636292E-2</v>
      </c>
    </row>
    <row r="21" spans="1:16" ht="45" x14ac:dyDescent="0.25">
      <c r="A21" s="21" t="s">
        <v>139</v>
      </c>
    </row>
    <row r="22" spans="1:16" s="48" customFormat="1" ht="30" x14ac:dyDescent="0.25">
      <c r="A22" s="35" t="str">
        <f>uptake!A49</f>
        <v>metal</v>
      </c>
      <c r="B22" s="35" t="s">
        <v>177</v>
      </c>
      <c r="C22" s="35" t="s">
        <v>186</v>
      </c>
      <c r="D22" s="55" t="str">
        <f>uptake!N49</f>
        <v>mass change from metal</v>
      </c>
      <c r="E22" s="55" t="str">
        <f>uptake!M49</f>
        <v>mass change from water</v>
      </c>
      <c r="F22" s="55" t="str">
        <f>uptake!O49</f>
        <v>mass change overall</v>
      </c>
      <c r="G22" s="55" t="str">
        <f>uptake!R49</f>
        <v>density
percent change</v>
      </c>
      <c r="H22" s="55" t="s">
        <v>181</v>
      </c>
      <c r="J22" s="48" t="s">
        <v>54</v>
      </c>
      <c r="K22" s="48" t="s">
        <v>3</v>
      </c>
      <c r="L22" s="48" t="s">
        <v>55</v>
      </c>
      <c r="M22" s="48" t="s">
        <v>35</v>
      </c>
      <c r="N22" s="48" t="s">
        <v>39</v>
      </c>
      <c r="O22" s="48" t="s">
        <v>183</v>
      </c>
      <c r="P22" s="48" t="s">
        <v>65</v>
      </c>
    </row>
    <row r="23" spans="1:16" x14ac:dyDescent="0.25">
      <c r="A23" s="56" t="str">
        <f>uptake!A50</f>
        <v>Mn</v>
      </c>
      <c r="B23" s="69">
        <v>10</v>
      </c>
      <c r="C23" s="73">
        <f>ROUND(uptake!H50,2)</f>
        <v>0.11</v>
      </c>
      <c r="D23" s="70">
        <f>uptake!N50</f>
        <v>1.4904099183418789E-3</v>
      </c>
      <c r="E23" s="71">
        <f>uptake!M50</f>
        <v>0.10848834676216063</v>
      </c>
      <c r="F23" s="71">
        <f>uptake!O50</f>
        <v>0.1099787566805025</v>
      </c>
      <c r="G23" s="70">
        <f>uptake!R50</f>
        <v>-9.0909090909090974E-3</v>
      </c>
      <c r="H23" s="72">
        <f>uptake!S50</f>
        <v>27</v>
      </c>
      <c r="J23" t="s">
        <v>66</v>
      </c>
      <c r="K23">
        <v>1</v>
      </c>
      <c r="L23">
        <v>1</v>
      </c>
      <c r="M23">
        <v>4</v>
      </c>
      <c r="N23">
        <v>33.51</v>
      </c>
      <c r="O23">
        <v>1.1020000000000001</v>
      </c>
      <c r="P23">
        <v>3.6928019999999996E-11</v>
      </c>
    </row>
    <row r="24" spans="1:16" x14ac:dyDescent="0.25">
      <c r="A24" s="56" t="str">
        <f>uptake!A53</f>
        <v>Sr</v>
      </c>
      <c r="B24" s="69">
        <v>10</v>
      </c>
      <c r="C24" s="73">
        <f>ROUND(uptake!H51,2)</f>
        <v>0.37</v>
      </c>
      <c r="D24" s="70">
        <f>uptake!N53</f>
        <v>2.3770380619082499E-3</v>
      </c>
      <c r="E24" s="71">
        <f>uptake!M53</f>
        <v>0.10848834676216063</v>
      </c>
      <c r="F24" s="71">
        <f>uptake!O53</f>
        <v>0.11086538482406888</v>
      </c>
      <c r="G24" s="70">
        <f>uptake!R53</f>
        <v>-9.0909090909090974E-3</v>
      </c>
      <c r="H24" s="72">
        <f>uptake!S53</f>
        <v>27</v>
      </c>
    </row>
    <row r="25" spans="1:16" x14ac:dyDescent="0.25">
      <c r="A25" s="56" t="str">
        <f>uptake!A56</f>
        <v>Cd</v>
      </c>
      <c r="B25" s="69">
        <v>10</v>
      </c>
      <c r="C25" s="73">
        <f>ROUND(uptake!H52,2)</f>
        <v>0.54</v>
      </c>
      <c r="D25" s="70">
        <f>uptake!N56</f>
        <v>3.0495645804508829E-3</v>
      </c>
      <c r="E25" s="71">
        <f>uptake!M56</f>
        <v>0.10848834676216063</v>
      </c>
      <c r="F25" s="71">
        <f>uptake!O56</f>
        <v>0.11153791134261153</v>
      </c>
      <c r="G25" s="70">
        <f>uptake!R56</f>
        <v>-9.0909090909090974E-3</v>
      </c>
      <c r="H25" s="72">
        <f>uptake!S56</f>
        <v>27</v>
      </c>
    </row>
    <row r="26" spans="1:16" x14ac:dyDescent="0.25">
      <c r="A26" s="56" t="str">
        <f>uptake!A51</f>
        <v>Mn</v>
      </c>
      <c r="B26" s="69">
        <v>50</v>
      </c>
      <c r="C26" s="73">
        <f>ROUND(uptake!H53,2)</f>
        <v>0.11</v>
      </c>
      <c r="D26" s="70">
        <f>uptake!N51</f>
        <v>7.4520495917093973E-3</v>
      </c>
      <c r="E26" s="71">
        <f>uptake!M51</f>
        <v>0.54244173381080274</v>
      </c>
      <c r="F26" s="71">
        <f>uptake!O51</f>
        <v>0.54989378340251216</v>
      </c>
      <c r="G26" s="70">
        <f>uptake!R51</f>
        <v>-2.7272727272727296E-2</v>
      </c>
      <c r="H26" s="72">
        <f>uptake!S51</f>
        <v>93</v>
      </c>
    </row>
    <row r="27" spans="1:16" x14ac:dyDescent="0.25">
      <c r="A27" s="56" t="str">
        <f>uptake!A54</f>
        <v>Sr</v>
      </c>
      <c r="B27" s="69">
        <v>50</v>
      </c>
      <c r="C27" s="73">
        <f>ROUND(uptake!H54,2)</f>
        <v>0.37</v>
      </c>
      <c r="D27" s="70">
        <f>uptake!N54</f>
        <v>1.1885190309541252E-2</v>
      </c>
      <c r="E27" s="71">
        <f>uptake!M54</f>
        <v>0.54244173381080274</v>
      </c>
      <c r="F27" s="71">
        <f>uptake!O54</f>
        <v>0.55432692412034401</v>
      </c>
      <c r="G27" s="70">
        <f>uptake!R54</f>
        <v>-2.7272727272727296E-2</v>
      </c>
      <c r="H27" s="72">
        <f>uptake!S54</f>
        <v>93</v>
      </c>
    </row>
    <row r="28" spans="1:16" x14ac:dyDescent="0.25">
      <c r="A28" s="56" t="str">
        <f>uptake!A57</f>
        <v>Cd</v>
      </c>
      <c r="B28" s="69">
        <v>50</v>
      </c>
      <c r="C28" s="73">
        <f>ROUND(uptake!H55,2)</f>
        <v>0.54</v>
      </c>
      <c r="D28" s="70">
        <f>uptake!N57</f>
        <v>1.524782290225442E-2</v>
      </c>
      <c r="E28" s="71">
        <f>uptake!M57</f>
        <v>0.54244173381080274</v>
      </c>
      <c r="F28" s="71">
        <f>uptake!O57</f>
        <v>0.5576895567130572</v>
      </c>
      <c r="G28" s="70">
        <f>uptake!R57</f>
        <v>-2.7272727272727296E-2</v>
      </c>
      <c r="H28" s="72">
        <f>uptake!S57</f>
        <v>93</v>
      </c>
    </row>
    <row r="29" spans="1:16" x14ac:dyDescent="0.25">
      <c r="A29" s="56" t="str">
        <f>uptake!A52</f>
        <v>Mn</v>
      </c>
      <c r="B29" s="69">
        <v>100</v>
      </c>
      <c r="C29" s="73">
        <f>ROUND(uptake!H56,2)</f>
        <v>0.11</v>
      </c>
      <c r="D29" s="70">
        <f>uptake!N52</f>
        <v>1.4904099183418795E-2</v>
      </c>
      <c r="E29" s="71">
        <f>uptake!M52</f>
        <v>1.0848834676216053</v>
      </c>
      <c r="F29" s="71">
        <f>uptake!O52</f>
        <v>1.0997875668050241</v>
      </c>
      <c r="G29" s="70">
        <f>G30</f>
        <v>-3.636363636363639E-2</v>
      </c>
      <c r="H29" s="72">
        <f>uptake!S52</f>
        <v>136</v>
      </c>
    </row>
    <row r="30" spans="1:16" x14ac:dyDescent="0.25">
      <c r="A30" s="56" t="str">
        <f>uptake!A55</f>
        <v>Sr</v>
      </c>
      <c r="B30" s="69">
        <v>100</v>
      </c>
      <c r="C30" s="73">
        <f>ROUND(uptake!H57,2)</f>
        <v>0.37</v>
      </c>
      <c r="D30" s="70">
        <f>uptake!N55</f>
        <v>2.3770380619082505E-2</v>
      </c>
      <c r="E30" s="71">
        <f>uptake!M55</f>
        <v>1.0848834676216053</v>
      </c>
      <c r="F30" s="71">
        <f>uptake!O55</f>
        <v>1.1086538482406878</v>
      </c>
      <c r="G30" s="70">
        <f>uptake!R55</f>
        <v>-3.636363636363639E-2</v>
      </c>
      <c r="H30" s="72">
        <f>uptake!S55</f>
        <v>136</v>
      </c>
    </row>
    <row r="31" spans="1:16" x14ac:dyDescent="0.25">
      <c r="A31" s="56" t="str">
        <f>uptake!A58</f>
        <v>Cd</v>
      </c>
      <c r="B31" s="69">
        <v>100</v>
      </c>
      <c r="C31" s="73">
        <f>ROUND(uptake!H58,2)</f>
        <v>0.54</v>
      </c>
      <c r="D31" s="70">
        <f>uptake!N58</f>
        <v>3.049564580450884E-2</v>
      </c>
      <c r="E31" s="71">
        <f>uptake!M58</f>
        <v>1.0848834676216053</v>
      </c>
      <c r="F31" s="71">
        <f>uptake!O58</f>
        <v>1.1153791134261142</v>
      </c>
      <c r="G31" s="70">
        <f>uptake!R58</f>
        <v>-3.636363636363639E-2</v>
      </c>
      <c r="H31" s="72">
        <f>uptake!S58</f>
        <v>136</v>
      </c>
    </row>
    <row r="32" spans="1:1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3" spans="1:1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display</vt:lpstr>
      <vt:lpstr>uptake</vt:lpstr>
      <vt:lpstr>density</vt:lpstr>
      <vt:lpstr>table-uptake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2019-05-07T15:38:00Z</dcterms:modified>
</cp:coreProperties>
</file>